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updateLinks="always"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lodew\OneDrive\Bureaublad\CC26  versie1.4\"/>
    </mc:Choice>
  </mc:AlternateContent>
  <xr:revisionPtr revIDLastSave="0" documentId="8_{5A4274ED-F50B-4374-99E6-FCB0871BEA26}" xr6:coauthVersionLast="47" xr6:coauthVersionMax="47" xr10:uidLastSave="{00000000-0000-0000-0000-000000000000}"/>
  <workbookProtection workbookAlgorithmName="SHA-512" workbookHashValue="Vjw1OQK6ZhNRh3ve89DG2drmli7hEpRmhgjUHeZwXEkT/0GNoivacnoHixnJu3dmi2c9VKgieCUhLTp1lY7jgg==" workbookSaltValue="bXKvF1pVmnjl5Iy0kt9JuA==" workbookSpinCount="100000" lockStructure="1"/>
  <bookViews>
    <workbookView xWindow="24" yWindow="24" windowWidth="23016" windowHeight="12216" tabRatio="702" xr2:uid="{A0091C71-FEC6-4244-9FB8-7EB4DFD42626}"/>
  </bookViews>
  <sheets>
    <sheet name="Inleiding" sheetId="8" r:id="rId1"/>
    <sheet name="Calculator 16-90 jaar" sheetId="2" r:id="rId2"/>
    <sheet name="Calculator 6 minutenversie" sheetId="7" r:id="rId3"/>
    <sheet name="Coopertest tabel van 16-90 jaar" sheetId="3" r:id="rId4"/>
    <sheet name="Coopertest tabel van 12-15 jaar" sheetId="6" r:id="rId5"/>
    <sheet name="Normen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03" i="2" l="1"/>
  <c r="E34" i="7"/>
  <c r="E60" i="2"/>
  <c r="B11" i="7" a="1"/>
  <c r="B11" i="7" s="1"/>
  <c r="D27" i="7"/>
  <c r="G3" i="7" s="1"/>
  <c r="D28" i="7"/>
  <c r="B25" i="7"/>
  <c r="B20" i="2"/>
  <c r="F23" i="2" s="1"/>
  <c r="F29" i="2"/>
  <c r="H17" i="7"/>
  <c r="I17" i="7" s="1"/>
  <c r="O17" i="5"/>
  <c r="M16" i="5" s="1"/>
  <c r="N16" i="5" s="1"/>
  <c r="O14" i="5"/>
  <c r="M13" i="5"/>
  <c r="N13" i="5" s="1"/>
  <c r="O8" i="5"/>
  <c r="M7" i="5" s="1"/>
  <c r="N7" i="5" s="1"/>
  <c r="O5" i="5"/>
  <c r="M4" i="5" s="1"/>
  <c r="N4" i="5" s="1"/>
  <c r="B9" i="2" a="1"/>
  <c r="B9" i="2" s="1"/>
  <c r="G8" i="7" l="1"/>
  <c r="B12" i="7" s="1"/>
  <c r="F27" i="7"/>
  <c r="I27" i="7"/>
  <c r="I28" i="7"/>
  <c r="F28" i="7"/>
  <c r="H30" i="7"/>
  <c r="C17" i="7" s="1"/>
  <c r="E25" i="7"/>
  <c r="H25" i="7" s="1"/>
  <c r="G6" i="2"/>
  <c r="C10" i="2" s="1"/>
  <c r="H108" i="2"/>
  <c r="I108" i="2" s="1"/>
  <c r="F54" i="2"/>
  <c r="H3" i="2" s="1"/>
  <c r="I54" i="2" s="1"/>
  <c r="F52" i="2"/>
  <c r="I52" i="2" s="1"/>
  <c r="H47" i="2"/>
  <c r="H52" i="2" s="1"/>
  <c r="F41" i="2"/>
  <c r="G3" i="2" s="1"/>
  <c r="I41" i="2" s="1"/>
  <c r="F38" i="2"/>
  <c r="I38" i="2" s="1"/>
  <c r="E38" i="2"/>
  <c r="H33" i="2"/>
  <c r="H38" i="2" s="1"/>
  <c r="H41" i="2" s="1"/>
  <c r="E41" i="2" s="1"/>
  <c r="F26" i="2"/>
  <c r="I26" i="2" s="1"/>
  <c r="C3" i="2"/>
  <c r="B3" i="2"/>
  <c r="C12" i="7" l="1"/>
  <c r="F12" i="7"/>
  <c r="E12" i="7"/>
  <c r="I7" i="7"/>
  <c r="G12" i="7"/>
  <c r="D12" i="7"/>
  <c r="B10" i="2"/>
  <c r="F10" i="2"/>
  <c r="G10" i="2"/>
  <c r="I5" i="2"/>
  <c r="D10" i="2"/>
  <c r="E10" i="2"/>
  <c r="E33" i="2"/>
  <c r="I23" i="2"/>
  <c r="E20" i="2"/>
  <c r="H20" i="2" s="1"/>
  <c r="H23" i="2" s="1"/>
  <c r="H24" i="2" s="1"/>
  <c r="F25" i="2"/>
  <c r="I25" i="2" s="1"/>
  <c r="C15" i="2"/>
  <c r="H104" i="2"/>
  <c r="F24" i="2"/>
  <c r="I24" i="2" s="1"/>
  <c r="E47" i="2"/>
  <c r="H54" i="2"/>
  <c r="E54" i="2" s="1"/>
  <c r="E52" i="2"/>
  <c r="E23" i="2" l="1"/>
  <c r="I104" i="2"/>
  <c r="H105" i="2"/>
  <c r="E24" i="2"/>
  <c r="H25" i="2"/>
  <c r="E25" i="2" l="1"/>
  <c r="H26" i="2"/>
  <c r="E26" i="2" s="1"/>
  <c r="I105" i="2"/>
  <c r="H106" i="2"/>
  <c r="I106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<sst xmlns="http://schemas.openxmlformats.org/spreadsheetml/2006/main" count="274" uniqueCount="192">
  <si>
    <t>lvd2026</t>
  </si>
  <si>
    <t>m/ CT</t>
  </si>
  <si>
    <t>km/ uur</t>
  </si>
  <si>
    <t>per/ km</t>
  </si>
  <si>
    <t>Mogelijke 10 km tijd :</t>
  </si>
  <si>
    <t>Mogelijke 5 km tijd:</t>
  </si>
  <si>
    <t>Mogelijke 3 km tijd</t>
  </si>
  <si>
    <t>10 km tijd</t>
  </si>
  <si>
    <t>km/uur</t>
  </si>
  <si>
    <t>min</t>
  </si>
  <si>
    <t>Mogelijk op de 5 km</t>
  </si>
  <si>
    <t>Mogelijk op de 10 km</t>
  </si>
  <si>
    <t>Riegel</t>
  </si>
  <si>
    <t>Mogelijke 1500 m tijd</t>
  </si>
  <si>
    <t>Mogelijk op de Coopertest</t>
  </si>
  <si>
    <t>5 km tijd</t>
  </si>
  <si>
    <t>CC 26</t>
  </si>
  <si>
    <t>Mannen</t>
  </si>
  <si>
    <t>Leeftijd</t>
  </si>
  <si>
    <t>Zwak</t>
  </si>
  <si>
    <t>Redelijk</t>
  </si>
  <si>
    <t>Goed</t>
  </si>
  <si>
    <t>Uitstekend</t>
  </si>
  <si>
    <t>Topklasse</t>
  </si>
  <si>
    <t>Vrouwen</t>
  </si>
  <si>
    <t>10 kilometer</t>
  </si>
  <si>
    <t>5 kilometer</t>
  </si>
  <si>
    <t>3000 meter</t>
  </si>
  <si>
    <t>1500 meter</t>
  </si>
  <si>
    <t xml:space="preserve">= </t>
  </si>
  <si>
    <t>=</t>
  </si>
  <si>
    <t xml:space="preserve">Coopertest tempo </t>
  </si>
  <si>
    <t>10 km tempo - 6 sec</t>
  </si>
  <si>
    <t>5 km tempo - 10 sec</t>
  </si>
  <si>
    <t>3000 m tempo - 10 sec</t>
  </si>
  <si>
    <t>10 km tempo - 10 sec</t>
  </si>
  <si>
    <t>tijd per km</t>
  </si>
  <si>
    <t>prognose CC 26</t>
  </si>
  <si>
    <t>Geslacht</t>
  </si>
  <si>
    <t>Man</t>
  </si>
  <si>
    <t>leeftijd</t>
  </si>
  <si>
    <t>Waardering</t>
  </si>
  <si>
    <t>Vrouw</t>
  </si>
  <si>
    <r>
      <t xml:space="preserve"> Vul in het</t>
    </r>
    <r>
      <rPr>
        <sz val="11"/>
        <color rgb="FFFF0000"/>
        <rFont val="Aptos Narrow"/>
        <family val="2"/>
        <scheme val="minor"/>
      </rPr>
      <t xml:space="preserve"> blauwe vlak </t>
    </r>
    <r>
      <rPr>
        <sz val="11"/>
        <color theme="1"/>
        <rFont val="Aptos Narrow"/>
        <family val="2"/>
        <scheme val="minor"/>
      </rPr>
      <t>hiernaast je tijd als volgt in: 01:02:03</t>
    </r>
  </si>
  <si>
    <r>
      <t xml:space="preserve"> Vul in het </t>
    </r>
    <r>
      <rPr>
        <sz val="11"/>
        <color rgb="FFFF0000"/>
        <rFont val="Aptos Narrow"/>
        <family val="2"/>
        <scheme val="minor"/>
      </rPr>
      <t>blauwe vlak</t>
    </r>
    <r>
      <rPr>
        <sz val="11"/>
        <color theme="1"/>
        <rFont val="Aptos Narrow"/>
        <family val="2"/>
        <scheme val="minor"/>
      </rPr>
      <t xml:space="preserve"> hiernaast je tijd als volgt in: 00:18:45</t>
    </r>
  </si>
  <si>
    <t>doorgerekend</t>
  </si>
  <si>
    <t>VO2 max</t>
  </si>
  <si>
    <t>ml/kg/min</t>
  </si>
  <si>
    <t>Vul gelopen meters in</t>
  </si>
  <si>
    <t>Legenda</t>
  </si>
  <si>
    <t>invoerveld dashboard</t>
  </si>
  <si>
    <t>uitkomsten</t>
  </si>
  <si>
    <t>invoerveld rest van de calculator</t>
  </si>
  <si>
    <t>→→</t>
  </si>
  <si>
    <t>Gemiddeld</t>
  </si>
  <si>
    <t>Min leeftijd</t>
  </si>
  <si>
    <t>Max leeftijd</t>
  </si>
  <si>
    <t>wordt dat</t>
  </si>
  <si>
    <t>↓</t>
  </si>
  <si>
    <t>Jongens</t>
  </si>
  <si>
    <t>Meisjes</t>
  </si>
  <si>
    <t>3115−(6,95×180)=3115−1251=1864 meter</t>
  </si>
  <si>
    <t>Formule</t>
  </si>
  <si>
    <t>12 jaar</t>
  </si>
  <si>
    <t>3090 − 6,90 × seconden</t>
  </si>
  <si>
    <t>13 jaar</t>
  </si>
  <si>
    <t>3100 − 6,93 × seconden</t>
  </si>
  <si>
    <t>14 jaar</t>
  </si>
  <si>
    <t>3110 − 6,95 × seconden</t>
  </si>
  <si>
    <t>15 jaar</t>
  </si>
  <si>
    <t>3120 − 6,97 × seconden</t>
  </si>
  <si>
    <t>Gelopen in</t>
  </si>
  <si>
    <t>6 minuten Coopertest</t>
  </si>
  <si>
    <t>Jongen</t>
  </si>
  <si>
    <t>Meisje</t>
  </si>
  <si>
    <t>Mogelijke 1000 m tijd</t>
  </si>
  <si>
    <t>snelheid voor de 1500</t>
  </si>
  <si>
    <t>snelheid voor de 1000</t>
  </si>
  <si>
    <t>35-45 = gemiddeld</t>
  </si>
  <si>
    <t>45-55 = goed</t>
  </si>
  <si>
    <t>55-65 = uitstekend</t>
  </si>
  <si>
    <t>&lt;     35 = laag</t>
  </si>
  <si>
    <t>&gt;     65 = topklasse</t>
  </si>
  <si>
    <t>( Let op: 6 minuten versie )</t>
  </si>
  <si>
    <t>6 minuten uitkomst doorgerekend met factor x 1,85 voor vergelijk met 12 minuten Coopertest</t>
  </si>
  <si>
    <t>km tijd versus afstand</t>
  </si>
  <si>
    <t>meter</t>
  </si>
  <si>
    <t>Uitgangspunt in de berekeningen van de Coopertest Calculator CC 26 is het gemiddelde per km op de 10 km afstand ( uitleg van de toegepaste methode )</t>
  </si>
  <si>
    <t>Volgens een gelijkmatig gelopen Coopertest loop je dan:</t>
  </si>
  <si>
    <t>Vul hieronder je km tijd in</t>
  </si>
  <si>
    <t>Dan loop je op de 6 minuten loop in de Coopertest</t>
  </si>
  <si>
    <t>Vul de blauwe cellen in  voor doorvoer berekeningen</t>
  </si>
  <si>
    <t>Vul de blauwe cellen in voor doorvoer berekeningen</t>
  </si>
  <si>
    <r>
      <t xml:space="preserve">Coopertest Calculator CC 26 / V1.4  </t>
    </r>
    <r>
      <rPr>
        <sz val="18"/>
        <rFont val="Aptos Narrow"/>
        <family val="2"/>
        <scheme val="minor"/>
      </rPr>
      <t xml:space="preserve">16-90 jaar </t>
    </r>
    <r>
      <rPr>
        <sz val="12"/>
        <rFont val="Aptos Narrow"/>
        <family val="2"/>
        <scheme val="minor"/>
      </rPr>
      <t>(12 minuten Coopertest)</t>
    </r>
  </si>
  <si>
    <r>
      <t xml:space="preserve">Coopertest Calculator CC 26 / V1.4  </t>
    </r>
    <r>
      <rPr>
        <sz val="14"/>
        <color rgb="FFFF0000"/>
        <rFont val="Aptos Narrow"/>
        <family val="2"/>
        <scheme val="minor"/>
      </rPr>
      <t>12 t/m 15 jaar (  6 minuten Coopertest )</t>
    </r>
  </si>
  <si>
    <t>en wetenschappelijke informatie.</t>
  </si>
  <si>
    <t xml:space="preserve">Raadpleeg hiervoor de beschikbare referentietabellen </t>
  </si>
  <si>
    <t>van leeftijd en geslacht.</t>
  </si>
  <si>
    <t xml:space="preserve">De beoordeling van de VO2max is afhankelijk </t>
  </si>
  <si>
    <t>Deze Coopertest-calculator bestaat uit twee berekeningsmethoden: de CC 26-calculator en de wetenschappelijke Riegel-methode.</t>
  </si>
  <si>
    <t>De CC 26-calculator is een door mij ontwikkeld praktijkmodel, gebaseerd op praktijkervaring en analyse van resultaten van diverse atleten.</t>
  </si>
  <si>
    <t>De berekeningen zijn in de loop der jaren bijgesteld en verfijnd op basis van waargenomen prestaties en wedstrijdresultaten.</t>
  </si>
  <si>
    <t>Hierdoor kan de prognose afwijken van wetenschappelijke modellen, zoals de Riegel-methode.</t>
  </si>
  <si>
    <t xml:space="preserve">Daar waar de CC26-calculator uitgaat van het gemiddelde 10 km-tempo en vaste waarden hanteert voor de berekeningen op andere afstanden, gaat de Riegel-methode </t>
  </si>
  <si>
    <t>ervan uit dat naarmate een loper sneller of langzamer loopt, respectievelijk minder of meer prestatieverval optreedt</t>
  </si>
  <si>
    <t>Daardoor kunnen de prognoses soms afwijken van de uitkomsten volgens de Riegel-methode.</t>
  </si>
  <si>
    <t>Ook kunnen door afronding kleine verschillen ontstaan, bijvoorbeeld 1 meter of 1 seconde meer of minder.</t>
  </si>
  <si>
    <t>Onderaan de tabel wordt de berekening van dit model uitgelegd. Ingeval van bijv. 41:40 op de 10 km zal men op de Coopertest uitkomen op 3000 m, terwijl men op een</t>
  </si>
  <si>
    <t>3000 m baanwedstrijd op zich sneller uitkomt dan 12 minuten. Uitgerekend de tijd die je dan loopt in de Coopertest</t>
  </si>
  <si>
    <t>verrassend goede voorspeller kan zijn van hun wedstrijdprestaties."</t>
  </si>
  <si>
    <t xml:space="preserve">"Het CC26-model pretendeert niet nauwkeuriger te zijn dan de Riegel-methode, maar biedt een praktijkgerichte benadering gebaseerd op waargenomen prestaties van </t>
  </si>
  <si>
    <t>lopers. Daarom zijn in deze calculator beide methoden opgenomen."</t>
  </si>
  <si>
    <t>LVD</t>
  </si>
  <si>
    <t xml:space="preserve">In de praktijk blijkt echter regelmatig dat prestaties van individuele atleten afwijken van deze theoretische verwachting. De ervaring leert dat de Coopertest voor veel lopers een </t>
  </si>
  <si>
    <t>"Theoretisch zou een wedstrijd over 3000 meter sneller moeten kunnen worden gelopen dan de afstand die in 12 minuten tijdens een Coopertest wordt afgelegd.</t>
  </si>
  <si>
    <t>Beoordeling van de VO2max</t>
  </si>
  <si>
    <t>VO2max score ( algemeen )</t>
  </si>
  <si>
    <t>Kijk voor meer info over VO2 max onderaan deze pagina</t>
  </si>
  <si>
    <t xml:space="preserve"> Welke prestatie moet je volgens de HRT of volgens de Methode Riegel neerzetten om aan de ingevulde 10 km tijd te komen ?</t>
  </si>
  <si>
    <t>Inleiding</t>
  </si>
  <si>
    <r>
      <t xml:space="preserve">De </t>
    </r>
    <r>
      <rPr>
        <b/>
        <sz val="11"/>
        <color rgb="FF000000"/>
        <rFont val="Aptos Narrow"/>
        <family val="2"/>
        <scheme val="minor"/>
      </rPr>
      <t>Coopertest Calculator CC26</t>
    </r>
    <r>
      <rPr>
        <sz val="11"/>
        <color rgb="FF000000"/>
        <rFont val="Aptos Narrow"/>
        <family val="2"/>
        <scheme val="minor"/>
      </rPr>
      <t xml:space="preserve"> is ontwikkeld om hardlopers op een objectieve en prestatiegerichte manier inzicht te geven in hun conditie, hardloopprestaties en</t>
    </r>
  </si>
  <si>
    <t xml:space="preserve">mogelijke wedstrijdprognoses. De normering is gebaseerd op prestaties uit de nationale ranglijsten van de Atletiekunie en onderscheidt zich daarmee van de </t>
  </si>
  <si>
    <t>traditionele Coopertesttabellen, die zijn gericht op de algemene bevolking.</t>
  </si>
  <si>
    <t>Opbouw van de Coopertest Calculator CC26</t>
  </si>
  <si>
    <t>De Coopertest Calculator CC26 bestaat uit twee afzonderlijke calculators:</t>
  </si>
  <si>
    <r>
      <t>16 t/m 90 jaar</t>
    </r>
    <r>
      <rPr>
        <sz val="11"/>
        <color rgb="FF000000"/>
        <rFont val="Aptos Narrow"/>
        <family val="2"/>
        <scheme val="minor"/>
      </rPr>
      <t xml:space="preserve"> – gebaseerd op de klassieke Coopertest van </t>
    </r>
    <r>
      <rPr>
        <b/>
        <sz val="11"/>
        <color rgb="FF000000"/>
        <rFont val="Aptos Narrow"/>
        <family val="2"/>
        <scheme val="minor"/>
      </rPr>
      <t>12 minuten</t>
    </r>
    <r>
      <rPr>
        <sz val="11"/>
        <color rgb="FF000000"/>
        <rFont val="Aptos Narrow"/>
        <family val="2"/>
        <scheme val="minor"/>
      </rPr>
      <t>.</t>
    </r>
  </si>
  <si>
    <r>
      <t>12 t/m 15 jaar</t>
    </r>
    <r>
      <rPr>
        <sz val="11"/>
        <color rgb="FF000000"/>
        <rFont val="Aptos Narrow"/>
        <family val="2"/>
        <scheme val="minor"/>
      </rPr>
      <t xml:space="preserve"> – gebaseerd op een </t>
    </r>
    <r>
      <rPr>
        <b/>
        <sz val="11"/>
        <color rgb="FF000000"/>
        <rFont val="Aptos Narrow"/>
        <family val="2"/>
        <scheme val="minor"/>
      </rPr>
      <t>halve Coopertest van 6 minuten</t>
    </r>
    <r>
      <rPr>
        <sz val="11"/>
        <color rgb="FF000000"/>
        <rFont val="Aptos Narrow"/>
        <family val="2"/>
        <scheme val="minor"/>
      </rPr>
      <t>. De toelichting en achtergrond van deze keuze vindt u in het betreffende tabblad.</t>
    </r>
  </si>
  <si>
    <r>
      <t xml:space="preserve">Beide calculators beginnen met een overzichtelijk dashboard. Door uitsluitend de </t>
    </r>
    <r>
      <rPr>
        <b/>
        <sz val="11"/>
        <color rgb="FF000000"/>
        <rFont val="Aptos Narrow"/>
        <family val="2"/>
        <scheme val="minor"/>
      </rPr>
      <t>blauwe invoervelden</t>
    </r>
    <r>
      <rPr>
        <sz val="11"/>
        <color rgb="FF000000"/>
        <rFont val="Aptos Narrow"/>
        <family val="2"/>
        <scheme val="minor"/>
      </rPr>
      <t xml:space="preserve"> in te vullen, worden automatisch diverse berekeningen, </t>
    </r>
  </si>
  <si>
    <t>analyses en prestatie-indicaties weergegeven.</t>
  </si>
  <si>
    <t>Daarnaast bevat de Coopertest Calculator CC26 verschillende aanvullende calculators. Hiermee kunt u onder andere:</t>
  </si>
  <si>
    <t>prestaties op andere loopafstanden voorspellen op basis van een gelopen Coopertest;</t>
  </si>
  <si>
    <t>een verwachte Coopertestprestatie berekenen vanuit wedstrijdresultaten op andere afstanden;</t>
  </si>
  <si>
    <t>aanvullende prestatieberekeningen en vergelijkingen uitvoeren.</t>
  </si>
  <si>
    <t xml:space="preserve">Hierdoor biedt de Coopertest Calculator CC26 niet alleen inzicht in de uitslag van de Coopertest zelf, maar ook in de relatie tussen de Coopertest en prestaties op </t>
  </si>
  <si>
    <t>uiteenlopende wedstrijdafstanden.</t>
  </si>
  <si>
    <t>Kanttekening bij de Coopertest Calculator en de Coopertest-tabel</t>
  </si>
  <si>
    <r>
      <t xml:space="preserve">De Coopertest Calculator en de bijbehorende Coopertest-tabel zijn ontwikkeld </t>
    </r>
    <r>
      <rPr>
        <b/>
        <sz val="11"/>
        <color rgb="FF000000"/>
        <rFont val="Aptos Narrow"/>
        <family val="2"/>
        <scheme val="minor"/>
      </rPr>
      <t>vanuit en voor hardlopers</t>
    </r>
    <r>
      <rPr>
        <sz val="11"/>
        <color rgb="FF000000"/>
        <rFont val="Aptos Narrow"/>
        <family val="2"/>
        <scheme val="minor"/>
      </rPr>
      <t xml:space="preserve">. In tegenstelling tot de traditionele Coopertest, die </t>
    </r>
  </si>
  <si>
    <t>voornamelijk wordt gebruikt als algemene conditietest, ligt de nadruk hierbij op het beoordelen van hardloopprestaties.</t>
  </si>
  <si>
    <t xml:space="preserve">De normering is gebaseerd op prestaties uit de nationale ranglijsten en vormt daarmee een prestatiegerichte referentie voor hardlopers. Hierdoor ligt de lat bewust </t>
  </si>
  <si>
    <t>hoger dan bij de veelgebruikte Coopertesttabellen, die zijn ontwikkeld voor de algemene bevolking en vooral gericht zijn op het beoordelen van de algemene conditie.</t>
  </si>
  <si>
    <t xml:space="preserve">Het doel van deze calculator en normtabel is daarom niet alleen het bepalen van de conditie, maar vooral het geven van inzicht in de sportieve ontwikkeling en het </t>
  </si>
  <si>
    <t>prestatieniveau ten opzichte van andere hardlopers.</t>
  </si>
  <si>
    <t>Betekenis van de waarderingen</t>
  </si>
  <si>
    <r>
      <t>Zwak</t>
    </r>
    <r>
      <rPr>
        <sz val="11"/>
        <color rgb="FF000000"/>
        <rFont val="Aptos Narrow"/>
        <family val="2"/>
        <scheme val="minor"/>
      </rPr>
      <t xml:space="preserve"> – Onder het prestatieniveau dat op basis van de nationale hardloopreferenties verwacht mag worden.</t>
    </r>
  </si>
  <si>
    <r>
      <t>Matig</t>
    </r>
    <r>
      <rPr>
        <sz val="11"/>
        <color rgb="FF000000"/>
        <rFont val="Aptos Narrow"/>
        <family val="2"/>
        <scheme val="minor"/>
      </rPr>
      <t xml:space="preserve"> – Een goede basis, met voldoende ruimte voor verdere ontwikkeling.</t>
    </r>
  </si>
  <si>
    <r>
      <t>Redelijk</t>
    </r>
    <r>
      <rPr>
        <sz val="11"/>
        <color rgb="FF000000"/>
        <rFont val="Aptos Narrow"/>
        <family val="2"/>
        <scheme val="minor"/>
      </rPr>
      <t xml:space="preserve"> – Een solide prestatieniveau voor recreatieve hardlopers.</t>
    </r>
  </si>
  <si>
    <r>
      <t>Goed</t>
    </r>
    <r>
      <rPr>
        <sz val="11"/>
        <color rgb="FF000000"/>
        <rFont val="Aptos Narrow"/>
        <family val="2"/>
        <scheme val="minor"/>
      </rPr>
      <t xml:space="preserve"> – Bovengemiddeld prestatieniveau binnen de hardloopsport.</t>
    </r>
  </si>
  <si>
    <r>
      <t>Uitstekend</t>
    </r>
    <r>
      <rPr>
        <sz val="11"/>
        <color rgb="FF000000"/>
        <rFont val="Aptos Narrow"/>
        <family val="2"/>
        <scheme val="minor"/>
      </rPr>
      <t xml:space="preserve"> – Hoog prestatieniveau, passend bij goed getrainde hardlopers.</t>
    </r>
  </si>
  <si>
    <r>
      <t>Topklasse</t>
    </r>
    <r>
      <rPr>
        <sz val="11"/>
        <color rgb="FF000000"/>
        <rFont val="Aptos Narrow"/>
        <family val="2"/>
        <scheme val="minor"/>
      </rPr>
      <t xml:space="preserve"> – Prestatieniveau dat aansluit bij de nationale ranglijsten en de sterkste hardlopers binnen de betreffende leeftijds- en geslachtscategorie</t>
    </r>
  </si>
  <si>
    <t>Hoe leest u de normtabel?</t>
  </si>
  <si>
    <r>
      <t xml:space="preserve">In tegenstelling tot veel traditionele Coopertesttabellen worden uitsluitend de </t>
    </r>
    <r>
      <rPr>
        <b/>
        <sz val="11"/>
        <color rgb="FF000000"/>
        <rFont val="Aptos Narrow"/>
        <family val="2"/>
        <scheme val="minor"/>
      </rPr>
      <t>ondergrenzen</t>
    </r>
    <r>
      <rPr>
        <sz val="11"/>
        <color rgb="FF000000"/>
        <rFont val="Aptos Narrow"/>
        <family val="2"/>
        <scheme val="minor"/>
      </rPr>
      <t xml:space="preserve"> van ieder prestatieniveau weergegeven. Hierdoor is direct zichtbaar vanaf </t>
    </r>
  </si>
  <si>
    <t>welke afstand een nieuw niveau wordt bereikt en hoeveel meter nog nodig is om het volgende niveau te behalen.</t>
  </si>
  <si>
    <t xml:space="preserve">Deze presentatie sluit beter aan bij de prestatiegerichte opzet van de calculator en biedt hardlopers meer inzicht in hun sportieve ontwikkeling. Bovendien sluit deze </t>
  </si>
  <si>
    <t>werkwijze aan op de berekeningen binnen de calculator, waarin eveneens met de ondergrenzen van de prestatieniveaus wordt gewerkt.</t>
  </si>
  <si>
    <t>Bron en referentiekader</t>
  </si>
  <si>
    <t>De normering van de Coopertest Calculator CC26 is afgeleid van prestaties uit de nationale ranglijsten van de Atletiekunie op de 3.000, 5.000 en 10.000 meter.</t>
  </si>
  <si>
    <t xml:space="preserve">De Coopertestafstanden zijn hiervan afgeleid met als doel een zo realistisch mogelijke prestatievergelijking voor hardlopers te creëren. De normen zijn daarom niet </t>
  </si>
  <si>
    <t>bedoeld als algemene gezondheidsnormen, maar als sportieve referentie voor actieve hardlopers.</t>
  </si>
  <si>
    <t>LvD</t>
  </si>
  <si>
    <t>De VO₂max</t>
  </si>
  <si>
    <t xml:space="preserve">Bij de 6-minuten Coopertest wordt de gelopen afstand eerst omgerekend naar een equivalente prestatie over 12 minuten. Op basis hiervan wordt de VO₂max berekend </t>
  </si>
  <si>
    <t xml:space="preserve">met de algemeen toegepaste Cooper-formule. </t>
  </si>
  <si>
    <t xml:space="preserve">De weergegeven VO₂max is een theoretische schatting van het aerobe uithoudingsvermogen en vormt geen directe laboratoriummeting.  </t>
  </si>
  <si>
    <t xml:space="preserve">De interpretatie van de VO₂max is afhankelijk van leeftijd en geslacht. Voor de beoordeling wordt verwezen naar de beschikbare referentietabellen en wetenschappelijke </t>
  </si>
  <si>
    <t>literatuur.</t>
  </si>
  <si>
    <t>Toelichting jeugdnormen</t>
  </si>
  <si>
    <t>De Coopertesttabellen en -calculator voor de jeugd beginnen bij 12 jaar. Voor jongere leeftijdscategorieën zijn onvoldoende landelijke prestatiegegevens beschikbaar om een</t>
  </si>
  <si>
    <t>betrouwbaar en representatief referentiekader op te stellen. De normering is gebaseerd op de nationale ranglijsten van de Atletiekunie, waarbij niet alleen de beste prestaties,</t>
  </si>
  <si>
    <t>maar ook de breedte van de nationale top is meegenomen.</t>
  </si>
  <si>
    <t>Hoewel kinderen jonger dan 12 jaar de volledige Coopertest regelmatig zonder problemen uitlopen, is een 6-6-minuten Coopertest gezien hun fysieke ontwikkeling en de</t>
  </si>
  <si>
    <t xml:space="preserve"> gebruikelijke wedstrijdafstanden een passender meetinstrument. </t>
  </si>
  <si>
    <t>Uitzonderlijke prestaties van zeer talentvolle 10- en 11-jarigen komen wel voor, maar vormen geen representatieve basis voor een algemene normering van deze leeftijdsgroep.</t>
  </si>
  <si>
    <t>Bronverantwoording</t>
  </si>
  <si>
    <t xml:space="preserve">Omdat er geen officiële nationale of internationale ranglijsten van Coopertest-prestaties per leeftijdscategorie bestaan, is </t>
  </si>
  <si>
    <t xml:space="preserve">deze normtabel afgeleid van nationale en internationale prestaties op de 3.000, 5.000 en 10.000 meter op de baan. </t>
  </si>
  <si>
    <t>Op basis hiervan zijn de normen opgesteld voor de leeftijdsgroepen van 16 t/m 90 jaar, ingedeeld in stappen van vijf jaar.</t>
  </si>
  <si>
    <t xml:space="preserve">Door verschillen in de beschikbare prestatiegegevens kan het voorkomen dat een oudere leeftijdscategorie incidenteel iets </t>
  </si>
  <si>
    <t xml:space="preserve">Door verschillen in de beschikbare prestatiegegevens kan het voorkomen dat een oudere leeftijdscategorie incidenteel </t>
  </si>
  <si>
    <t xml:space="preserve">iets sterker of juist iets minder sterk is genormeerd dan een jongere categorie. De normering is daarom bedoeld als een </t>
  </si>
  <si>
    <t>realistische en praktische richtlijn en niet als een officiële recordlijst.</t>
  </si>
  <si>
    <t xml:space="preserve">Diverse atletiekverenigingen, waaronder Haag Atletiek, publiceren daarnaast eigen Coopertest- of prestatielijsten per </t>
  </si>
  <si>
    <t>leeftijdscategorie en geslacht.</t>
  </si>
  <si>
    <t>Samenstelling en normontwikkeling: LvD</t>
  </si>
  <si>
    <r>
      <t xml:space="preserve">Hieronder staat een complete </t>
    </r>
    <r>
      <rPr>
        <b/>
        <sz val="11"/>
        <color rgb="FF000000"/>
        <rFont val="Aptos Narrow"/>
        <family val="2"/>
        <scheme val="minor"/>
      </rPr>
      <t>Coopertest-tabel (12 minuten)</t>
    </r>
    <r>
      <rPr>
        <sz val="11"/>
        <color rgb="FF000000"/>
        <rFont val="Aptos Narrow"/>
        <family val="2"/>
        <scheme val="minor"/>
      </rPr>
      <t xml:space="preserve"> voor </t>
    </r>
    <r>
      <rPr>
        <b/>
        <sz val="11"/>
        <color rgb="FF000000"/>
        <rFont val="Aptos Narrow"/>
        <family val="2"/>
        <scheme val="minor"/>
      </rPr>
      <t>mannen en vrouwen</t>
    </r>
    <r>
      <rPr>
        <sz val="11"/>
        <color rgb="FF000000"/>
        <rFont val="Aptos Narrow"/>
        <family val="2"/>
        <scheme val="minor"/>
      </rPr>
      <t>, met 6 niveaus.</t>
    </r>
  </si>
  <si>
    <t xml:space="preserve">De resultaten zijn ingedeeld van Zwak tot Uitstekend, inclusief een extra categorie Topklasse. </t>
  </si>
  <si>
    <t>De getoonde waarden betreffen telkens de beginwaarden van elk niveau</t>
  </si>
  <si>
    <r>
      <t xml:space="preserve">Hieronder staat een complete </t>
    </r>
    <r>
      <rPr>
        <b/>
        <sz val="11"/>
        <color rgb="FF000000"/>
        <rFont val="Aptos Narrow"/>
        <family val="2"/>
        <scheme val="minor"/>
      </rPr>
      <t>Coopertest-tabel (6 minuten)</t>
    </r>
    <r>
      <rPr>
        <sz val="11"/>
        <color rgb="FF000000"/>
        <rFont val="Aptos Narrow"/>
        <family val="2"/>
        <scheme val="minor"/>
      </rPr>
      <t xml:space="preserve"> voor </t>
    </r>
    <r>
      <rPr>
        <b/>
        <sz val="11"/>
        <color rgb="FF000000"/>
        <rFont val="Aptos Narrow"/>
        <family val="2"/>
        <scheme val="minor"/>
      </rPr>
      <t>jongens en meisjes</t>
    </r>
    <r>
      <rPr>
        <sz val="11"/>
        <color rgb="FF000000"/>
        <rFont val="Aptos Narrow"/>
        <family val="2"/>
        <scheme val="minor"/>
      </rPr>
      <t xml:space="preserve">, met 6 niveaus. </t>
    </r>
  </si>
  <si>
    <t>De getoonde waarden betreffen telkens de beginwaarden van elk niveau.</t>
  </si>
  <si>
    <t xml:space="preserve">deze normtabel afgeleid van prestaties op de 1000 en 1500 meter op de baan. Op basis hiervan zijn de normen opgesteld voor </t>
  </si>
  <si>
    <t xml:space="preserve">sterker of juist iets minder sterk is genormeerd dan een jongere categorie. De normering is daarom bedoeld als een realistische </t>
  </si>
  <si>
    <t>en praktische richtlijn en niet als een officiële recordlijst.</t>
  </si>
  <si>
    <t>de leeftijdsgroepen van 12  tm 15 jaar.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</si>
</sst>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 x14ac:knownFonts="1">
    <font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2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</font>
    <font>
      <sz val="11"/>
      <color theme="0" tint="-0.14999847407452621"/>
      <name val="Aptos Narrow"/>
      <family val="2"/>
      <scheme val="minor"/>
    </font>
    <font>
      <sz val="11"/>
      <color theme="0" tint="-4.9989318521683403E-2"/>
      <name val="Aptos Narrow"/>
      <family val="2"/>
      <scheme val="minor"/>
    </font>
    <font>
      <sz val="14"/>
      <color rgb="FFFF00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8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0"/>
      <name val="Aptos Narrow"/>
      <family val="2"/>
      <scheme val="minor"/>
    </font>
    <font>
      <sz val="16"/>
      <name val="Aptos Narrow"/>
      <family val="2"/>
      <scheme val="minor"/>
    </font>
    <font>
      <sz val="14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u/>
      <sz val="16"/>
      <color rgb="FF4EA72E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u/>
      <sz val="14"/>
      <color rgb="FF4EA72E"/>
      <name val="Aptos Narrow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0">
    <xf numFmtId="0" fontId="0" fillId="0" borderId="0" xfId="0"/>
    <xf numFmtId="21" fontId="3" fillId="0" borderId="0" xfId="0" applyNumberFormat="1" applyFont="1" applyAlignment="1">
      <alignment horizontal="center"/>
    </xf>
    <xf numFmtId="21" fontId="2" fillId="0" borderId="0" xfId="0" applyNumberFormat="1" applyFont="1" applyProtection="1">
      <protection hidden="1"/>
    </xf>
    <xf numFmtId="0" fontId="2" fillId="0" borderId="0" xfId="0" applyFont="1" applyAlignment="1">
      <alignment horizontal="center"/>
    </xf>
    <xf numFmtId="46" fontId="0" fillId="0" borderId="0" xfId="0" applyNumberFormat="1"/>
    <xf numFmtId="0" fontId="0" fillId="0" borderId="0" xfId="0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21" fontId="2" fillId="0" borderId="0" xfId="0" applyNumberFormat="1" applyFont="1" applyAlignment="1">
      <alignment horizontal="center"/>
    </xf>
    <xf numFmtId="0" fontId="2" fillId="0" borderId="0" xfId="0" applyFont="1"/>
    <xf numFmtId="1" fontId="2" fillId="0" borderId="0" xfId="0" applyNumberFormat="1" applyFont="1" applyAlignment="1">
      <alignment horizontal="center"/>
    </xf>
    <xf numFmtId="21" fontId="4" fillId="3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hidden="1"/>
    </xf>
    <xf numFmtId="0" fontId="0" fillId="0" borderId="1" xfId="0" applyBorder="1" applyAlignment="1" applyProtection="1">
      <alignment horizontal="center"/>
      <protection hidden="1"/>
    </xf>
    <xf numFmtId="0" fontId="2" fillId="0" borderId="1" xfId="0" applyFont="1" applyBorder="1" applyProtection="1">
      <protection hidden="1"/>
    </xf>
    <xf numFmtId="21" fontId="2" fillId="4" borderId="1" xfId="0" applyNumberFormat="1" applyFont="1" applyFill="1" applyBorder="1" applyAlignment="1" applyProtection="1">
      <alignment horizontal="center"/>
      <protection hidden="1"/>
    </xf>
    <xf numFmtId="0" fontId="2" fillId="4" borderId="1" xfId="0" applyFont="1" applyFill="1" applyBorder="1" applyAlignment="1" applyProtection="1">
      <alignment horizontal="center"/>
      <protection hidden="1"/>
    </xf>
    <xf numFmtId="2" fontId="2" fillId="0" borderId="0" xfId="0" applyNumberFormat="1" applyFont="1" applyProtection="1">
      <protection hidden="1"/>
    </xf>
    <xf numFmtId="0" fontId="2" fillId="0" borderId="0" xfId="0" applyFont="1" applyProtection="1">
      <protection hidden="1"/>
    </xf>
    <xf numFmtId="21" fontId="2" fillId="0" borderId="0" xfId="0" applyNumberFormat="1" applyFont="1" applyAlignment="1" applyProtection="1">
      <alignment horizontal="center"/>
      <protection hidden="1"/>
    </xf>
    <xf numFmtId="21" fontId="2" fillId="0" borderId="1" xfId="0" applyNumberFormat="1" applyFont="1" applyBorder="1" applyAlignment="1" applyProtection="1">
      <alignment horizontal="center"/>
      <protection hidden="1"/>
    </xf>
    <xf numFmtId="0" fontId="2" fillId="0" borderId="1" xfId="0" applyFont="1" applyBorder="1" applyAlignment="1" applyProtection="1">
      <alignment horizontal="center"/>
      <protection hidden="1"/>
    </xf>
    <xf numFmtId="0" fontId="0" fillId="0" borderId="1" xfId="0" applyBorder="1" applyProtection="1">
      <protection hidden="1"/>
    </xf>
    <xf numFmtId="21" fontId="2" fillId="4" borderId="1" xfId="0" applyNumberFormat="1" applyFont="1" applyFill="1" applyBorder="1" applyAlignment="1" applyProtection="1">
      <alignment horizontal="center" vertical="center"/>
      <protection hidden="1"/>
    </xf>
    <xf numFmtId="21" fontId="2" fillId="0" borderId="1" xfId="0" applyNumberFormat="1" applyFont="1" applyBorder="1" applyAlignment="1" applyProtection="1">
      <alignment horizontal="center" vertical="center"/>
      <protection hidden="1"/>
    </xf>
    <xf numFmtId="21" fontId="7" fillId="4" borderId="1" xfId="1" applyNumberFormat="1" applyFont="1" applyFill="1" applyBorder="1" applyAlignment="1" applyProtection="1">
      <alignment horizontal="center"/>
      <protection hidden="1"/>
    </xf>
    <xf numFmtId="21" fontId="2" fillId="0" borderId="1" xfId="0" applyNumberFormat="1" applyFont="1" applyBorder="1" applyProtection="1">
      <protection hidden="1"/>
    </xf>
    <xf numFmtId="0" fontId="6" fillId="0" borderId="1" xfId="1" applyFont="1" applyFill="1" applyBorder="1" applyProtection="1">
      <protection hidden="1"/>
    </xf>
    <xf numFmtId="0" fontId="6" fillId="0" borderId="0" xfId="1" applyFont="1" applyFill="1" applyProtection="1">
      <protection hidden="1"/>
    </xf>
    <xf numFmtId="1" fontId="2" fillId="4" borderId="1" xfId="0" applyNumberFormat="1" applyFont="1" applyFill="1" applyBorder="1" applyAlignment="1" applyProtection="1">
      <alignment horizontal="center"/>
      <protection hidden="1"/>
    </xf>
    <xf numFmtId="21" fontId="2" fillId="4" borderId="1" xfId="0" applyNumberFormat="1" applyFont="1" applyFill="1" applyBorder="1" applyProtection="1"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0" fillId="0" borderId="0" xfId="0" quotePrefix="1" applyAlignment="1">
      <alignment horizontal="center"/>
    </xf>
    <xf numFmtId="0" fontId="0" fillId="0" borderId="0" xfId="0" applyAlignment="1">
      <alignment horizontal="left"/>
    </xf>
    <xf numFmtId="0" fontId="0" fillId="4" borderId="0" xfId="0" applyFill="1"/>
    <xf numFmtId="0" fontId="0" fillId="0" borderId="1" xfId="0" applyBorder="1"/>
    <xf numFmtId="0" fontId="0" fillId="0" borderId="1" xfId="0" quotePrefix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13" fillId="0" borderId="0" xfId="0" applyFont="1" applyAlignment="1" applyProtection="1">
      <alignment horizontal="center"/>
      <protection hidden="1"/>
    </xf>
    <xf numFmtId="0" fontId="12" fillId="0" borderId="0" xfId="0" applyFont="1" applyAlignment="1" applyProtection="1">
      <alignment horizontal="center"/>
      <protection hidden="1"/>
    </xf>
    <xf numFmtId="0" fontId="14" fillId="0" borderId="0" xfId="0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14" fillId="8" borderId="0" xfId="0" applyFont="1" applyFill="1" applyAlignment="1" applyProtection="1">
      <alignment horizontal="center"/>
      <protection hidden="1"/>
    </xf>
    <xf numFmtId="164" fontId="7" fillId="4" borderId="0" xfId="0" applyNumberFormat="1" applyFont="1" applyFill="1" applyAlignment="1" applyProtection="1">
      <alignment horizontal="center"/>
      <protection hidden="1"/>
    </xf>
    <xf numFmtId="164" fontId="2" fillId="4" borderId="1" xfId="0" applyNumberFormat="1" applyFont="1" applyFill="1" applyBorder="1" applyProtection="1">
      <protection hidden="1"/>
    </xf>
    <xf numFmtId="0" fontId="4" fillId="4" borderId="1" xfId="0" applyFont="1" applyFill="1" applyBorder="1" applyAlignment="1">
      <alignment horizontal="center"/>
    </xf>
    <xf numFmtId="0" fontId="0" fillId="6" borderId="0" xfId="0" applyFill="1" applyProtection="1">
      <protection hidden="1"/>
    </xf>
    <xf numFmtId="0" fontId="0" fillId="4" borderId="0" xfId="0" applyFill="1" applyProtection="1">
      <protection hidden="1"/>
    </xf>
    <xf numFmtId="0" fontId="0" fillId="7" borderId="0" xfId="0" applyFill="1" applyProtection="1">
      <protection hidden="1"/>
    </xf>
    <xf numFmtId="0" fontId="9" fillId="4" borderId="0" xfId="0" applyFont="1" applyFill="1" applyAlignment="1" applyProtection="1">
      <alignment horizontal="center" vertical="center" wrapText="1"/>
      <protection hidden="1"/>
    </xf>
    <xf numFmtId="0" fontId="15" fillId="0" borderId="0" xfId="0" applyFont="1" applyAlignment="1" applyProtection="1">
      <alignment horizontal="center" vertical="center" wrapText="1"/>
      <protection hidden="1"/>
    </xf>
    <xf numFmtId="0" fontId="0" fillId="5" borderId="0" xfId="0" quotePrefix="1" applyFill="1" applyAlignment="1" applyProtection="1">
      <alignment horizontal="center" vertical="center" wrapText="1"/>
      <protection hidden="1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8" borderId="0" xfId="0" quotePrefix="1" applyFill="1" applyAlignment="1" applyProtection="1">
      <alignment horizontal="center" vertical="center" wrapText="1"/>
      <protection hidden="1"/>
    </xf>
    <xf numFmtId="0" fontId="0" fillId="10" borderId="0" xfId="0" applyFill="1" applyAlignment="1" applyProtection="1">
      <alignment horizontal="center" vertical="center" wrapText="1"/>
      <protection hidden="1"/>
    </xf>
    <xf numFmtId="0" fontId="9" fillId="10" borderId="0" xfId="0" applyFont="1" applyFill="1" applyAlignment="1" applyProtection="1">
      <alignment horizontal="center" vertical="center" wrapText="1"/>
      <protection hidden="1"/>
    </xf>
    <xf numFmtId="0" fontId="0" fillId="0" borderId="0" xfId="0" quotePrefix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 vertical="center"/>
      <protection hidden="1"/>
    </xf>
    <xf numFmtId="1" fontId="4" fillId="4" borderId="1" xfId="0" applyNumberFormat="1" applyFont="1" applyFill="1" applyBorder="1" applyAlignment="1">
      <alignment horizontal="center"/>
    </xf>
    <xf numFmtId="45" fontId="2" fillId="0" borderId="0" xfId="0" applyNumberFormat="1" applyFont="1" applyProtection="1">
      <protection hidden="1"/>
    </xf>
    <xf numFmtId="47" fontId="0" fillId="0" borderId="0" xfId="0" applyNumberFormat="1"/>
    <xf numFmtId="21" fontId="2" fillId="4" borderId="4" xfId="0" applyNumberFormat="1" applyFont="1" applyFill="1" applyBorder="1" applyAlignment="1" applyProtection="1">
      <alignment horizontal="center"/>
      <protection hidden="1"/>
    </xf>
    <xf numFmtId="0" fontId="6" fillId="0" borderId="0" xfId="1" applyFont="1" applyFill="1" applyBorder="1" applyProtection="1">
      <protection hidden="1"/>
    </xf>
    <xf numFmtId="2" fontId="2" fillId="0" borderId="1" xfId="0" applyNumberFormat="1" applyFont="1" applyBorder="1" applyAlignment="1" applyProtection="1">
      <alignment horizontal="center"/>
      <protection hidden="1"/>
    </xf>
    <xf numFmtId="2" fontId="2" fillId="0" borderId="1" xfId="0" applyNumberFormat="1" applyFont="1" applyBorder="1" applyAlignment="1" applyProtection="1">
      <alignment horizontal="center" vertical="center"/>
      <protection hidden="1"/>
    </xf>
    <xf numFmtId="47" fontId="2" fillId="0" borderId="1" xfId="0" applyNumberFormat="1" applyFont="1" applyBorder="1" applyAlignment="1" applyProtection="1">
      <alignment horizontal="center"/>
      <protection hidden="1"/>
    </xf>
    <xf numFmtId="47" fontId="7" fillId="0" borderId="1" xfId="1" applyNumberFormat="1" applyFont="1" applyFill="1" applyBorder="1" applyAlignment="1" applyProtection="1">
      <alignment horizontal="center"/>
      <protection hidden="1"/>
    </xf>
    <xf numFmtId="0" fontId="0" fillId="11" borderId="0" xfId="0" applyFill="1" applyAlignment="1" applyProtection="1">
      <alignment horizontal="center" vertical="center"/>
      <protection hidden="1"/>
    </xf>
    <xf numFmtId="0" fontId="0" fillId="10" borderId="0" xfId="0" applyFill="1" applyAlignment="1" applyProtection="1">
      <alignment horizontal="center" vertical="center"/>
      <protection hidden="1"/>
    </xf>
    <xf numFmtId="0" fontId="0" fillId="12" borderId="0" xfId="0" applyFill="1"/>
    <xf numFmtId="0" fontId="2" fillId="7" borderId="0" xfId="0" applyFont="1" applyFill="1" applyAlignment="1" applyProtection="1">
      <alignment horizontal="center" vertical="center"/>
      <protection locked="0"/>
    </xf>
    <xf numFmtId="21" fontId="2" fillId="7" borderId="0" xfId="0" applyNumberFormat="1" applyFont="1" applyFill="1" applyAlignment="1" applyProtection="1">
      <alignment horizontal="center" vertical="center"/>
      <protection locked="0"/>
    </xf>
    <xf numFmtId="0" fontId="9" fillId="11" borderId="0" xfId="0" applyFont="1" applyFill="1" applyAlignment="1" applyProtection="1">
      <alignment horizontal="center" vertical="center" wrapText="1"/>
      <protection hidden="1"/>
    </xf>
    <xf numFmtId="0" fontId="9" fillId="13" borderId="0" xfId="0" applyFont="1" applyFill="1" applyAlignment="1" applyProtection="1">
      <alignment horizontal="center" vertical="center" wrapText="1"/>
      <protection hidden="1"/>
    </xf>
    <xf numFmtId="0" fontId="9" fillId="12" borderId="0" xfId="0" applyFont="1" applyFill="1" applyAlignment="1" applyProtection="1">
      <alignment horizontal="center" vertical="center" wrapText="1"/>
      <protection hidden="1"/>
    </xf>
    <xf numFmtId="0" fontId="9" fillId="14" borderId="0" xfId="0" applyFont="1" applyFill="1" applyAlignment="1" applyProtection="1">
      <alignment horizontal="center" vertical="center" wrapText="1"/>
      <protection hidden="1"/>
    </xf>
    <xf numFmtId="0" fontId="9" fillId="0" borderId="1" xfId="0" applyFont="1" applyBorder="1" applyAlignment="1" applyProtection="1">
      <alignment horizontal="center" vertical="center" wrapText="1"/>
      <protection hidden="1"/>
    </xf>
    <xf numFmtId="0" fontId="12" fillId="14" borderId="0" xfId="0" applyFont="1" applyFill="1" applyAlignment="1" applyProtection="1">
      <alignment horizontal="center"/>
      <protection hidden="1"/>
    </xf>
    <xf numFmtId="0" fontId="13" fillId="14" borderId="0" xfId="0" applyFont="1" applyFill="1" applyAlignment="1" applyProtection="1">
      <alignment horizontal="center"/>
      <protection hidden="1"/>
    </xf>
    <xf numFmtId="2" fontId="2" fillId="4" borderId="1" xfId="0" applyNumberFormat="1" applyFont="1" applyFill="1" applyBorder="1" applyAlignment="1" applyProtection="1">
      <alignment horizontal="center"/>
      <protection hidden="1"/>
    </xf>
    <xf numFmtId="0" fontId="2" fillId="4" borderId="3" xfId="0" applyFont="1" applyFill="1" applyBorder="1" applyAlignment="1" applyProtection="1">
      <alignment horizontal="center"/>
      <protection hidden="1"/>
    </xf>
    <xf numFmtId="164" fontId="2" fillId="4" borderId="1" xfId="0" applyNumberFormat="1" applyFont="1" applyFill="1" applyBorder="1" applyAlignment="1" applyProtection="1">
      <alignment horizontal="center"/>
      <protection hidden="1"/>
    </xf>
    <xf numFmtId="46" fontId="2" fillId="0" borderId="1" xfId="0" applyNumberFormat="1" applyFont="1" applyBorder="1" applyAlignment="1" applyProtection="1">
      <alignment horizontal="center"/>
      <protection hidden="1"/>
    </xf>
    <xf numFmtId="46" fontId="2" fillId="4" borderId="1" xfId="0" applyNumberFormat="1" applyFont="1" applyFill="1" applyBorder="1" applyAlignment="1" applyProtection="1">
      <alignment horizontal="center"/>
      <protection hidden="1"/>
    </xf>
    <xf numFmtId="46" fontId="2" fillId="0" borderId="0" xfId="0" applyNumberFormat="1" applyFont="1" applyAlignment="1" applyProtection="1">
      <alignment horizontal="center"/>
      <protection hidden="1"/>
    </xf>
    <xf numFmtId="1" fontId="2" fillId="0" borderId="1" xfId="0" applyNumberFormat="1" applyFont="1" applyBorder="1" applyAlignment="1" applyProtection="1">
      <alignment horizontal="center"/>
      <protection hidden="1"/>
    </xf>
    <xf numFmtId="21" fontId="2" fillId="7" borderId="1" xfId="0" applyNumberFormat="1" applyFont="1" applyFill="1" applyBorder="1" applyProtection="1">
      <protection locked="0"/>
    </xf>
    <xf numFmtId="47" fontId="2" fillId="0" borderId="1" xfId="0" applyNumberFormat="1" applyFont="1" applyBorder="1" applyAlignment="1">
      <alignment horizontal="center" vertical="center"/>
    </xf>
    <xf numFmtId="0" fontId="0" fillId="7" borderId="0" xfId="0" applyFill="1" applyAlignment="1" applyProtection="1">
      <alignment horizontal="center" vertical="center" wrapText="1"/>
      <protection locked="0"/>
    </xf>
    <xf numFmtId="0" fontId="2" fillId="7" borderId="0" xfId="0" applyFont="1" applyFill="1" applyAlignment="1" applyProtection="1">
      <alignment horizontal="center" vertical="center" wrapText="1"/>
      <protection locked="0"/>
    </xf>
    <xf numFmtId="0" fontId="12" fillId="0" borderId="0" xfId="0" applyFont="1" applyProtection="1">
      <protection hidden="1"/>
    </xf>
    <xf numFmtId="0" fontId="12" fillId="0" borderId="0" xfId="0" applyFont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horizontal="center" vertical="center" wrapText="1"/>
      <protection hidden="1"/>
    </xf>
    <xf numFmtId="0" fontId="19" fillId="0" borderId="0" xfId="0" applyFont="1" applyAlignment="1" applyProtection="1">
      <alignment horizontal="center" vertical="center" wrapText="1"/>
      <protection hidden="1"/>
    </xf>
    <xf numFmtId="49" fontId="12" fillId="0" borderId="0" xfId="0" applyNumberFormat="1" applyFont="1" applyProtection="1">
      <protection hidden="1"/>
    </xf>
    <xf numFmtId="0" fontId="12" fillId="0" borderId="0" xfId="0" applyFont="1" applyAlignment="1" applyProtection="1">
      <alignment vertical="center" wrapText="1"/>
      <protection hidden="1"/>
    </xf>
    <xf numFmtId="0" fontId="17" fillId="8" borderId="0" xfId="0" applyFont="1" applyFill="1" applyAlignment="1" applyProtection="1">
      <alignment horizontal="center" vertical="center"/>
      <protection hidden="1"/>
    </xf>
    <xf numFmtId="0" fontId="16" fillId="5" borderId="0" xfId="0" applyFont="1" applyFill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1" fontId="7" fillId="12" borderId="0" xfId="0" applyNumberFormat="1" applyFont="1" applyFill="1" applyAlignment="1" applyProtection="1">
      <alignment horizontal="center"/>
      <protection hidden="1"/>
    </xf>
    <xf numFmtId="0" fontId="12" fillId="12" borderId="0" xfId="0" applyFont="1" applyFill="1" applyAlignment="1" applyProtection="1">
      <alignment horizontal="center"/>
      <protection hidden="1"/>
    </xf>
    <xf numFmtId="0" fontId="13" fillId="12" borderId="0" xfId="0" applyFont="1" applyFill="1" applyAlignment="1" applyProtection="1">
      <alignment horizontal="center"/>
      <protection hidden="1"/>
    </xf>
    <xf numFmtId="0" fontId="8" fillId="0" borderId="0" xfId="0" applyFont="1" applyProtection="1">
      <protection hidden="1"/>
    </xf>
    <xf numFmtId="21" fontId="22" fillId="0" borderId="0" xfId="0" applyNumberFormat="1" applyFont="1" applyAlignment="1">
      <alignment horizontal="center"/>
    </xf>
    <xf numFmtId="0" fontId="12" fillId="0" borderId="0" xfId="0" applyFont="1"/>
    <xf numFmtId="0" fontId="22" fillId="0" borderId="0" xfId="0" applyFont="1" applyAlignment="1">
      <alignment horizontal="center"/>
    </xf>
    <xf numFmtId="21" fontId="4" fillId="7" borderId="1" xfId="0" applyNumberFormat="1" applyFont="1" applyFill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left" vertical="center" wrapText="1"/>
      <protection hidden="1"/>
    </xf>
    <xf numFmtId="0" fontId="13" fillId="0" borderId="0" xfId="0" applyFont="1" applyAlignment="1" applyProtection="1">
      <alignment horizontal="left"/>
      <protection hidden="1"/>
    </xf>
    <xf numFmtId="0" fontId="2" fillId="4" borderId="1" xfId="0" applyFont="1" applyFill="1" applyBorder="1" applyAlignment="1" applyProtection="1">
      <alignment horizontal="center" vertical="center"/>
      <protection hidden="1"/>
    </xf>
    <xf numFmtId="21" fontId="23" fillId="2" borderId="0" xfId="0" applyNumberFormat="1" applyFont="1" applyFill="1" applyProtection="1">
      <protection hidden="1"/>
    </xf>
    <xf numFmtId="21" fontId="23" fillId="2" borderId="0" xfId="0" applyNumberFormat="1" applyFont="1" applyFill="1" applyAlignment="1" applyProtection="1">
      <alignment horizontal="center"/>
      <protection hidden="1"/>
    </xf>
    <xf numFmtId="2" fontId="23" fillId="2" borderId="0" xfId="0" applyNumberFormat="1" applyFont="1" applyFill="1" applyProtection="1">
      <protection hidden="1"/>
    </xf>
    <xf numFmtId="2" fontId="23" fillId="2" borderId="0" xfId="0" applyNumberFormat="1" applyFont="1" applyFill="1" applyAlignment="1" applyProtection="1">
      <alignment horizontal="center"/>
      <protection hidden="1"/>
    </xf>
    <xf numFmtId="0" fontId="23" fillId="2" borderId="0" xfId="0" applyFont="1" applyFill="1" applyProtection="1">
      <protection hidden="1"/>
    </xf>
    <xf numFmtId="47" fontId="23" fillId="2" borderId="0" xfId="0" applyNumberFormat="1" applyFont="1" applyFill="1" applyProtection="1">
      <protection hidden="1"/>
    </xf>
    <xf numFmtId="0" fontId="2" fillId="15" borderId="1" xfId="0" applyFont="1" applyFill="1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21" fontId="25" fillId="7" borderId="1" xfId="1" applyNumberFormat="1" applyFont="1" applyFill="1" applyBorder="1" applyAlignment="1" applyProtection="1">
      <alignment horizontal="center" vertical="center"/>
      <protection locked="0"/>
    </xf>
    <xf numFmtId="1" fontId="2" fillId="4" borderId="1" xfId="0" applyNumberFormat="1" applyFont="1" applyFill="1" applyBorder="1" applyAlignment="1" applyProtection="1">
      <alignment horizontal="center" vertical="center"/>
      <protection hidden="1"/>
    </xf>
    <xf numFmtId="1" fontId="2" fillId="15" borderId="1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wrapText="1"/>
    </xf>
    <xf numFmtId="0" fontId="0" fillId="8" borderId="0" xfId="0" applyFill="1" applyAlignment="1" applyProtection="1">
      <alignment horizontal="center"/>
      <protection hidden="1"/>
    </xf>
    <xf numFmtId="0" fontId="0" fillId="8" borderId="9" xfId="0" applyFill="1" applyBorder="1" applyProtection="1">
      <protection hidden="1"/>
    </xf>
    <xf numFmtId="0" fontId="0" fillId="8" borderId="6" xfId="0" applyFill="1" applyBorder="1" applyProtection="1">
      <protection hidden="1"/>
    </xf>
    <xf numFmtId="0" fontId="0" fillId="17" borderId="0" xfId="0" applyFill="1" applyAlignment="1" applyProtection="1">
      <alignment horizontal="center" vertical="center"/>
      <protection hidden="1"/>
    </xf>
    <xf numFmtId="0" fontId="0" fillId="17" borderId="0" xfId="0" applyFill="1" applyAlignment="1" applyProtection="1">
      <alignment horizontal="center"/>
      <protection hidden="1"/>
    </xf>
    <xf numFmtId="0" fontId="0" fillId="17" borderId="6" xfId="0" applyFill="1" applyBorder="1" applyAlignment="1" applyProtection="1">
      <alignment horizontal="center" vertical="center"/>
      <protection hidden="1"/>
    </xf>
    <xf numFmtId="0" fontId="0" fillId="17" borderId="11" xfId="0" applyFill="1" applyBorder="1" applyProtection="1">
      <protection hidden="1"/>
    </xf>
    <xf numFmtId="0" fontId="0" fillId="17" borderId="5" xfId="0" applyFill="1" applyBorder="1" applyProtection="1">
      <protection hidden="1"/>
    </xf>
    <xf numFmtId="0" fontId="26" fillId="17" borderId="9" xfId="0" applyFont="1" applyFill="1" applyBorder="1" applyProtection="1">
      <protection hidden="1"/>
    </xf>
    <xf numFmtId="0" fontId="0" fillId="17" borderId="0" xfId="0" applyFill="1" applyProtection="1">
      <protection hidden="1"/>
    </xf>
    <xf numFmtId="0" fontId="0" fillId="17" borderId="6" xfId="0" applyFill="1" applyBorder="1" applyProtection="1">
      <protection hidden="1"/>
    </xf>
    <xf numFmtId="0" fontId="0" fillId="8" borderId="0" xfId="0" applyFill="1" applyAlignment="1" applyProtection="1">
      <alignment horizontal="center" vertical="center"/>
      <protection hidden="1"/>
    </xf>
    <xf numFmtId="0" fontId="0" fillId="5" borderId="0" xfId="0" applyFill="1" applyAlignment="1" applyProtection="1">
      <alignment horizontal="center" vertical="center"/>
      <protection hidden="1"/>
    </xf>
    <xf numFmtId="0" fontId="0" fillId="5" borderId="0" xfId="0" applyFill="1" applyAlignment="1" applyProtection="1">
      <alignment horizontal="center"/>
      <protection hidden="1"/>
    </xf>
    <xf numFmtId="0" fontId="0" fillId="17" borderId="8" xfId="0" applyFill="1" applyBorder="1" applyProtection="1">
      <protection hidden="1"/>
    </xf>
    <xf numFmtId="0" fontId="29" fillId="17" borderId="9" xfId="0" applyFont="1" applyFill="1" applyBorder="1" applyProtection="1">
      <protection hidden="1"/>
    </xf>
    <xf numFmtId="0" fontId="26" fillId="0" borderId="0" xfId="0" applyFont="1" applyProtection="1">
      <protection hidden="1"/>
    </xf>
    <xf numFmtId="0" fontId="0" fillId="8" borderId="0" xfId="0" applyFill="1" applyProtection="1">
      <protection hidden="1"/>
    </xf>
    <xf numFmtId="0" fontId="0" fillId="0" borderId="0" xfId="0" applyProtection="1">
      <protection hidden="1"/>
    </xf>
    <xf numFmtId="0" fontId="26" fillId="8" borderId="0" xfId="0" applyFont="1" applyFill="1" applyProtection="1">
      <protection hidden="1"/>
    </xf>
    <xf numFmtId="0" fontId="30" fillId="8" borderId="0" xfId="0" applyFont="1" applyFill="1" applyProtection="1">
      <protection hidden="1"/>
    </xf>
    <xf numFmtId="0" fontId="29" fillId="8" borderId="0" xfId="0" applyFont="1" applyFill="1" applyProtection="1">
      <protection hidden="1"/>
    </xf>
    <xf numFmtId="0" fontId="28" fillId="8" borderId="0" xfId="0" applyFont="1" applyFill="1" applyProtection="1">
      <protection hidden="1"/>
    </xf>
    <xf numFmtId="0" fontId="0" fillId="0" borderId="0" xfId="0"/>
    <xf numFmtId="0" fontId="0" fillId="12" borderId="0" xfId="0" applyFill="1"/>
    <xf numFmtId="0" fontId="2" fillId="0" borderId="1" xfId="0" applyFont="1" applyBorder="1" applyProtection="1">
      <protection hidden="1"/>
    </xf>
    <xf numFmtId="0" fontId="0" fillId="0" borderId="1" xfId="0" applyBorder="1" applyProtection="1">
      <protection hidden="1"/>
    </xf>
    <xf numFmtId="0" fontId="0" fillId="8" borderId="0" xfId="0" applyFill="1" applyAlignment="1" applyProtection="1">
      <alignment horizontal="center" vertical="center" wrapText="1"/>
      <protection hidden="1"/>
    </xf>
    <xf numFmtId="0" fontId="0" fillId="8" borderId="0" xfId="0" applyFill="1" applyAlignment="1" applyProtection="1">
      <alignment horizontal="center"/>
      <protection hidden="1"/>
    </xf>
    <xf numFmtId="0" fontId="1" fillId="11" borderId="0" xfId="0" applyFont="1" applyFill="1" applyAlignment="1" applyProtection="1">
      <alignment horizontal="left" vertical="center"/>
      <protection hidden="1"/>
    </xf>
    <xf numFmtId="0" fontId="0" fillId="11" borderId="0" xfId="0" applyFill="1" applyAlignment="1" applyProtection="1">
      <alignment horizontal="left" vertical="center"/>
      <protection hidden="1"/>
    </xf>
    <xf numFmtId="0" fontId="8" fillId="0" borderId="2" xfId="0" applyFont="1" applyBorder="1" applyProtection="1">
      <protection hidden="1"/>
    </xf>
    <xf numFmtId="0" fontId="0" fillId="0" borderId="2" xfId="0" applyBorder="1" applyProtection="1">
      <protection hidden="1"/>
    </xf>
    <xf numFmtId="0" fontId="0" fillId="0" borderId="2" xfId="0" applyBorder="1" applyAlignment="1" applyProtection="1">
      <alignment vertical="center"/>
      <protection hidden="1"/>
    </xf>
    <xf numFmtId="0" fontId="8" fillId="0" borderId="0" xfId="0" applyFont="1" applyProtection="1">
      <protection hidden="1"/>
    </xf>
    <xf numFmtId="0" fontId="0" fillId="0" borderId="0" xfId="0" applyAlignment="1" applyProtection="1">
      <alignment vertical="center"/>
      <protection hidden="1"/>
    </xf>
    <xf numFmtId="0" fontId="14" fillId="0" borderId="1" xfId="0" applyFont="1" applyBorder="1" applyAlignment="1" applyProtection="1">
      <alignment horizontal="center" vertical="center"/>
      <protection hidden="1"/>
    </xf>
    <xf numFmtId="0" fontId="0" fillId="0" borderId="1" xfId="0" applyBorder="1" applyAlignment="1">
      <alignment horizontal="center" vertical="center"/>
    </xf>
    <xf numFmtId="0" fontId="0" fillId="8" borderId="8" xfId="0" applyFill="1" applyBorder="1" applyProtection="1">
      <protection hidden="1"/>
    </xf>
    <xf numFmtId="0" fontId="0" fillId="0" borderId="5" xfId="0" applyBorder="1" applyProtection="1">
      <protection hidden="1"/>
    </xf>
    <xf numFmtId="0" fontId="26" fillId="8" borderId="9" xfId="0" applyFont="1" applyFill="1" applyBorder="1" applyProtection="1">
      <protection hidden="1"/>
    </xf>
    <xf numFmtId="0" fontId="0" fillId="0" borderId="6" xfId="0" applyBorder="1" applyProtection="1">
      <protection hidden="1"/>
    </xf>
    <xf numFmtId="0" fontId="0" fillId="0" borderId="6" xfId="0" applyBorder="1"/>
    <xf numFmtId="0" fontId="26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7" fillId="8" borderId="1" xfId="0" applyFont="1" applyFill="1" applyBorder="1" applyAlignment="1">
      <alignment horizontal="left" vertical="center"/>
    </xf>
    <xf numFmtId="0" fontId="0" fillId="8" borderId="1" xfId="0" applyFill="1" applyBorder="1" applyAlignment="1">
      <alignment horizontal="left" vertical="center"/>
    </xf>
    <xf numFmtId="0" fontId="26" fillId="8" borderId="10" xfId="0" applyFont="1" applyFill="1" applyBorder="1" applyProtection="1">
      <protection hidden="1"/>
    </xf>
    <xf numFmtId="0" fontId="0" fillId="0" borderId="7" xfId="0" applyBorder="1" applyProtection="1">
      <protection hidden="1"/>
    </xf>
    <xf numFmtId="0" fontId="0" fillId="16" borderId="0" xfId="0" applyFill="1" applyProtection="1">
      <protection hidden="1"/>
    </xf>
    <xf numFmtId="0" fontId="29" fillId="16" borderId="0" xfId="0" applyFont="1" applyFill="1" applyProtection="1">
      <protection hidden="1"/>
    </xf>
    <xf numFmtId="0" fontId="26" fillId="16" borderId="0" xfId="0" applyFont="1" applyFill="1" applyProtection="1">
      <protection hidden="1"/>
    </xf>
    <xf numFmtId="0" fontId="1" fillId="10" borderId="0" xfId="0" applyFont="1" applyFill="1" applyAlignment="1" applyProtection="1">
      <alignment horizontal="left" vertical="center"/>
      <protection hidden="1"/>
    </xf>
    <xf numFmtId="0" fontId="0" fillId="10" borderId="0" xfId="0" applyFill="1" applyAlignment="1" applyProtection="1">
      <alignment horizontal="left" vertical="center"/>
      <protection hidden="1"/>
    </xf>
    <xf numFmtId="0" fontId="24" fillId="0" borderId="0" xfId="1" applyFont="1" applyFill="1" applyAlignment="1" applyProtection="1">
      <protection hidden="1"/>
    </xf>
    <xf numFmtId="0" fontId="26" fillId="17" borderId="9" xfId="0" applyFont="1" applyFill="1" applyBorder="1" applyProtection="1">
      <protection hidden="1"/>
    </xf>
    <xf numFmtId="0" fontId="0" fillId="17" borderId="0" xfId="0" applyFill="1" applyProtection="1">
      <protection hidden="1"/>
    </xf>
    <xf numFmtId="0" fontId="0" fillId="17" borderId="6" xfId="0" applyFill="1" applyBorder="1" applyProtection="1">
      <protection hidden="1"/>
    </xf>
    <xf numFmtId="0" fontId="0" fillId="17" borderId="10" xfId="0" applyFill="1" applyBorder="1" applyProtection="1">
      <protection hidden="1"/>
    </xf>
    <xf numFmtId="0" fontId="0" fillId="17" borderId="2" xfId="0" applyFill="1" applyBorder="1" applyProtection="1">
      <protection hidden="1"/>
    </xf>
    <xf numFmtId="0" fontId="0" fillId="17" borderId="7" xfId="0" applyFill="1" applyBorder="1" applyProtection="1">
      <protection hidden="1"/>
    </xf>
    <xf numFmtId="0" fontId="26" fillId="17" borderId="10" xfId="0" applyFont="1" applyFill="1" applyBorder="1" applyProtection="1">
      <protection hidden="1"/>
    </xf>
    <xf numFmtId="0" fontId="26" fillId="17" borderId="8" xfId="0" applyFont="1" applyFill="1" applyBorder="1" applyProtection="1">
      <protection hidden="1"/>
    </xf>
    <xf numFmtId="0" fontId="0" fillId="17" borderId="11" xfId="0" applyFill="1" applyBorder="1" applyProtection="1">
      <protection hidden="1"/>
    </xf>
    <xf numFmtId="0" fontId="0" fillId="17" borderId="5" xfId="0" applyFill="1" applyBorder="1" applyProtection="1">
      <protection hidden="1"/>
    </xf>
    <xf numFmtId="0" fontId="0" fillId="17" borderId="9" xfId="0" applyFill="1" applyBorder="1" applyProtection="1">
      <protection hidden="1"/>
    </xf>
    <xf numFmtId="0" fontId="10" fillId="11" borderId="0" xfId="0" applyFont="1" applyFill="1" applyAlignment="1" applyProtection="1">
      <alignment vertical="center"/>
      <protection hidden="1"/>
    </xf>
    <xf numFmtId="0" fontId="0" fillId="11" borderId="0" xfId="0" applyFill="1" applyProtection="1">
      <protection hidden="1"/>
    </xf>
    <xf numFmtId="0" fontId="0" fillId="0" borderId="10" xfId="0" applyBorder="1" applyProtection="1">
      <protection hidden="1"/>
    </xf>
    <xf numFmtId="0" fontId="0" fillId="0" borderId="8" xfId="0" quotePrefix="1" applyBorder="1" applyAlignment="1" applyProtection="1">
      <alignment horizontal="center" vertical="center"/>
      <protection hidden="1"/>
    </xf>
    <xf numFmtId="0" fontId="0" fillId="0" borderId="11" xfId="0" applyBorder="1" applyAlignment="1" applyProtection="1">
      <alignment horizontal="center"/>
      <protection hidden="1"/>
    </xf>
    <xf numFmtId="0" fontId="0" fillId="0" borderId="5" xfId="0" applyBorder="1" applyAlignment="1" applyProtection="1">
      <alignment horizontal="center"/>
      <protection hidden="1"/>
    </xf>
    <xf numFmtId="0" fontId="29" fillId="17" borderId="9" xfId="0" applyFont="1" applyFill="1" applyBorder="1" applyProtection="1">
      <protection hidden="1"/>
    </xf>
    <xf numFmtId="0" fontId="10" fillId="9" borderId="0" xfId="0" applyFont="1" applyFill="1" applyAlignment="1" applyProtection="1">
      <alignment vertical="center"/>
      <protection hidden="1"/>
    </xf>
    <xf numFmtId="0" fontId="0" fillId="9" borderId="0" xfId="0" applyFill="1" applyProtection="1">
      <protection hidden="1"/>
    </xf>
    <xf numFmtId="0" fontId="20" fillId="0" borderId="0" xfId="0" applyFont="1" applyProtection="1">
      <protection hidden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1</xdr:row>
      <xdr:rowOff>152400</xdr:rowOff>
    </xdr:from>
    <xdr:to>
      <xdr:col>10</xdr:col>
      <xdr:colOff>449580</xdr:colOff>
      <xdr:row>8</xdr:row>
      <xdr:rowOff>121920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762978BE-07CC-EBB3-03CD-716B9CEC9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2940" y="335280"/>
          <a:ext cx="1249680" cy="12496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26</xdr:row>
      <xdr:rowOff>190500</xdr:rowOff>
    </xdr:from>
    <xdr:ext cx="2354580" cy="502920"/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A9379634-504D-7B93-7944-1EC875C513D1}"/>
            </a:ext>
          </a:extLst>
        </xdr:cNvPr>
        <xdr:cNvSpPr txBox="1"/>
      </xdr:nvSpPr>
      <xdr:spPr>
        <a:xfrm>
          <a:off x="289560" y="3329940"/>
          <a:ext cx="2354580" cy="5029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1100"/>
            <a:t>VO2 max berekening </a:t>
          </a:r>
          <a:br>
            <a:rPr lang="nl-NL" sz="1100"/>
          </a:br>
          <a:r>
            <a:rPr lang="nl-NL" sz="1100"/>
            <a:t>op basis van ingevulde afstand</a:t>
          </a:r>
        </a:p>
      </xdr:txBody>
    </xdr:sp>
    <xdr:clientData/>
  </xdr:oneCellAnchor>
  <xdr:twoCellAnchor editAs="oneCell">
    <xdr:from>
      <xdr:col>7</xdr:col>
      <xdr:colOff>457200</xdr:colOff>
      <xdr:row>0</xdr:row>
      <xdr:rowOff>15240</xdr:rowOff>
    </xdr:from>
    <xdr:to>
      <xdr:col>7</xdr:col>
      <xdr:colOff>1135380</xdr:colOff>
      <xdr:row>0</xdr:row>
      <xdr:rowOff>693420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001AE21C-4C4F-1EF3-1CC1-896C3E22C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9480" y="15240"/>
          <a:ext cx="678180" cy="6781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632460</xdr:colOff>
      <xdr:row>13</xdr:row>
      <xdr:rowOff>7620</xdr:rowOff>
    </xdr:from>
    <xdr:ext cx="2948940" cy="800100"/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13F44918-BF30-424E-937E-FBE4534DF43C}"/>
            </a:ext>
          </a:extLst>
        </xdr:cNvPr>
        <xdr:cNvSpPr txBox="1"/>
      </xdr:nvSpPr>
      <xdr:spPr>
        <a:xfrm>
          <a:off x="3497580" y="2651760"/>
          <a:ext cx="2948940" cy="800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1100"/>
            <a:t>Ingevulde afstand in meters wordt hier rechts automatisch</a:t>
          </a:r>
          <a:r>
            <a:rPr lang="nl-NL" sz="1100" baseline="0"/>
            <a:t> doorgevoerd naar wat mogelijk is in een volledige Coopertest.</a:t>
          </a:r>
          <a:br>
            <a:rPr lang="nl-NL" sz="1100" baseline="0"/>
          </a:br>
          <a:r>
            <a:rPr lang="nl-NL" sz="1100" baseline="0"/>
            <a:t>De factor bedraagt ( x 1,85 )</a:t>
          </a:r>
          <a:endParaRPr lang="nl-NL" sz="1100"/>
        </a:p>
      </xdr:txBody>
    </xdr:sp>
    <xdr:clientData/>
  </xdr:oneCellAnchor>
  <xdr:twoCellAnchor editAs="oneCell">
    <xdr:from>
      <xdr:col>7</xdr:col>
      <xdr:colOff>419100</xdr:colOff>
      <xdr:row>0</xdr:row>
      <xdr:rowOff>0</xdr:rowOff>
    </xdr:from>
    <xdr:to>
      <xdr:col>7</xdr:col>
      <xdr:colOff>1082040</xdr:colOff>
      <xdr:row>0</xdr:row>
      <xdr:rowOff>662940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A38C8A12-BF92-F390-8A7F-3C77AF985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1380" y="0"/>
          <a:ext cx="662940" cy="6629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FD525-86C7-4FD6-8793-BCEB889A511A}">
  <dimension ref="B2:S62"/>
  <sheetViews>
    <sheetView tabSelected="1" workbookViewId="0">
      <selection activeCell="D69" sqref="D69"/>
    </sheetView>
  </sheetViews>
  <sheetFormatPr defaultRowHeight="14.4" x14ac:dyDescent="0.3"/>
  <cols>
    <col min="1" max="2" width="2.88671875" style="5" customWidth="1"/>
    <col min="3" max="16384" width="8.88671875" style="5"/>
  </cols>
  <sheetData>
    <row r="2" spans="2:19" x14ac:dyDescent="0.3"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</row>
    <row r="3" spans="2:19" x14ac:dyDescent="0.3"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</row>
    <row r="4" spans="2:19" x14ac:dyDescent="0.3"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</row>
    <row r="5" spans="2:19" x14ac:dyDescent="0.3"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</row>
    <row r="6" spans="2:19" x14ac:dyDescent="0.3"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</row>
    <row r="7" spans="2:19" x14ac:dyDescent="0.3"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</row>
    <row r="8" spans="2:19" x14ac:dyDescent="0.3">
      <c r="B8" s="142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</row>
    <row r="9" spans="2:19" x14ac:dyDescent="0.3"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</row>
    <row r="10" spans="2:19" ht="21" x14ac:dyDescent="0.4">
      <c r="B10" s="142"/>
      <c r="C10" s="146" t="s">
        <v>119</v>
      </c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</row>
    <row r="11" spans="2:19" x14ac:dyDescent="0.3">
      <c r="B11" s="142"/>
      <c r="C11" s="143" t="s">
        <v>120</v>
      </c>
      <c r="D11" s="141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41"/>
      <c r="P11" s="141"/>
      <c r="Q11" s="141"/>
      <c r="S11" s="140"/>
    </row>
    <row r="12" spans="2:19" x14ac:dyDescent="0.3">
      <c r="B12" s="142"/>
      <c r="C12" s="143" t="s">
        <v>121</v>
      </c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</row>
    <row r="13" spans="2:19" x14ac:dyDescent="0.3">
      <c r="B13" s="142"/>
      <c r="C13" s="143" t="s">
        <v>122</v>
      </c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</row>
    <row r="14" spans="2:19" x14ac:dyDescent="0.3">
      <c r="B14" s="142"/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O14" s="141"/>
      <c r="P14" s="141"/>
      <c r="Q14" s="141"/>
    </row>
    <row r="15" spans="2:19" x14ac:dyDescent="0.3">
      <c r="B15" s="142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</row>
    <row r="16" spans="2:19" ht="18" x14ac:dyDescent="0.35">
      <c r="B16" s="142"/>
      <c r="C16" s="144" t="s">
        <v>123</v>
      </c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</row>
    <row r="17" spans="2:17" x14ac:dyDescent="0.3">
      <c r="B17" s="142"/>
      <c r="C17" s="143" t="s">
        <v>124</v>
      </c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/>
    </row>
    <row r="18" spans="2:17" x14ac:dyDescent="0.3">
      <c r="B18" s="142"/>
      <c r="C18" s="145" t="s">
        <v>125</v>
      </c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2:17" x14ac:dyDescent="0.3">
      <c r="B19" s="142"/>
      <c r="C19" s="145" t="s">
        <v>126</v>
      </c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</row>
    <row r="20" spans="2:17" x14ac:dyDescent="0.3">
      <c r="B20" s="142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</row>
    <row r="21" spans="2:17" x14ac:dyDescent="0.3">
      <c r="B21" s="142"/>
      <c r="C21" s="143" t="s">
        <v>127</v>
      </c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</row>
    <row r="22" spans="2:17" x14ac:dyDescent="0.3">
      <c r="B22" s="142"/>
      <c r="C22" s="143" t="s">
        <v>128</v>
      </c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</row>
    <row r="23" spans="2:17" x14ac:dyDescent="0.3">
      <c r="B23" s="142"/>
      <c r="C23" s="143" t="s">
        <v>129</v>
      </c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</row>
    <row r="24" spans="2:17" x14ac:dyDescent="0.3">
      <c r="B24" s="142"/>
      <c r="C24" s="143" t="s">
        <v>130</v>
      </c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</row>
    <row r="25" spans="2:17" x14ac:dyDescent="0.3">
      <c r="B25" s="142"/>
      <c r="C25" s="143" t="s">
        <v>131</v>
      </c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</row>
    <row r="26" spans="2:17" x14ac:dyDescent="0.3">
      <c r="B26" s="142"/>
      <c r="C26" s="143" t="s">
        <v>132</v>
      </c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</row>
    <row r="27" spans="2:17" x14ac:dyDescent="0.3">
      <c r="B27" s="142"/>
      <c r="C27" s="143" t="s">
        <v>133</v>
      </c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</row>
    <row r="28" spans="2:17" x14ac:dyDescent="0.3">
      <c r="B28" s="142"/>
      <c r="C28" s="143" t="s">
        <v>134</v>
      </c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</row>
    <row r="29" spans="2:17" x14ac:dyDescent="0.3">
      <c r="B29" s="142"/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</row>
    <row r="30" spans="2:17" x14ac:dyDescent="0.3">
      <c r="B30" s="142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</row>
    <row r="31" spans="2:17" ht="18" x14ac:dyDescent="0.35">
      <c r="B31" s="142"/>
      <c r="C31" s="144" t="s">
        <v>135</v>
      </c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</row>
    <row r="32" spans="2:17" x14ac:dyDescent="0.3">
      <c r="B32" s="142"/>
      <c r="C32" s="143" t="s">
        <v>136</v>
      </c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</row>
    <row r="33" spans="2:17" x14ac:dyDescent="0.3">
      <c r="B33" s="142"/>
      <c r="C33" s="143" t="s">
        <v>137</v>
      </c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</row>
    <row r="34" spans="2:17" x14ac:dyDescent="0.3">
      <c r="B34" s="142"/>
      <c r="C34" s="143" t="s">
        <v>138</v>
      </c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</row>
    <row r="35" spans="2:17" x14ac:dyDescent="0.3">
      <c r="B35" s="142"/>
      <c r="C35" s="143" t="s">
        <v>139</v>
      </c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</row>
    <row r="36" spans="2:17" x14ac:dyDescent="0.3">
      <c r="B36" s="142"/>
      <c r="C36" s="143" t="s">
        <v>140</v>
      </c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141"/>
      <c r="Q36" s="141"/>
    </row>
    <row r="37" spans="2:17" x14ac:dyDescent="0.3">
      <c r="B37" s="142"/>
      <c r="C37" s="143" t="s">
        <v>141</v>
      </c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  <c r="P37" s="141"/>
      <c r="Q37" s="141"/>
    </row>
    <row r="38" spans="2:17" x14ac:dyDescent="0.3">
      <c r="B38" s="141"/>
      <c r="C38" s="141"/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141"/>
    </row>
    <row r="39" spans="2:17" x14ac:dyDescent="0.3">
      <c r="B39" s="141"/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41"/>
    </row>
    <row r="40" spans="2:17" ht="18" x14ac:dyDescent="0.35">
      <c r="B40" s="141"/>
      <c r="C40" s="144" t="s">
        <v>142</v>
      </c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</row>
    <row r="41" spans="2:17" x14ac:dyDescent="0.3">
      <c r="B41" s="142"/>
      <c r="C41" s="145" t="s">
        <v>143</v>
      </c>
      <c r="D41" s="141"/>
      <c r="E41" s="141"/>
      <c r="F41" s="141"/>
      <c r="G41" s="141"/>
      <c r="H41" s="141"/>
      <c r="I41" s="141"/>
      <c r="J41" s="141"/>
      <c r="K41" s="141"/>
      <c r="L41" s="141"/>
      <c r="M41" s="141"/>
      <c r="N41" s="141"/>
      <c r="O41" s="141"/>
      <c r="P41" s="141"/>
      <c r="Q41" s="141"/>
    </row>
    <row r="42" spans="2:17" x14ac:dyDescent="0.3">
      <c r="B42" s="142"/>
      <c r="C42" s="145" t="s">
        <v>144</v>
      </c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141"/>
      <c r="Q42" s="141"/>
    </row>
    <row r="43" spans="2:17" x14ac:dyDescent="0.3">
      <c r="B43" s="142"/>
      <c r="C43" s="145" t="s">
        <v>145</v>
      </c>
      <c r="D43" s="141"/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141"/>
      <c r="P43" s="141"/>
      <c r="Q43" s="141"/>
    </row>
    <row r="44" spans="2:17" x14ac:dyDescent="0.3">
      <c r="B44" s="142"/>
      <c r="C44" s="145" t="s">
        <v>146</v>
      </c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141"/>
      <c r="Q44" s="141"/>
    </row>
    <row r="45" spans="2:17" x14ac:dyDescent="0.3">
      <c r="B45" s="142"/>
      <c r="C45" s="145" t="s">
        <v>147</v>
      </c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</row>
    <row r="46" spans="2:17" x14ac:dyDescent="0.3">
      <c r="B46" s="142"/>
      <c r="C46" s="145" t="s">
        <v>148</v>
      </c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</row>
    <row r="47" spans="2:17" x14ac:dyDescent="0.3">
      <c r="B47" s="142"/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</row>
    <row r="48" spans="2:17" x14ac:dyDescent="0.3">
      <c r="B48" s="142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</row>
    <row r="49" spans="2:17" ht="18" x14ac:dyDescent="0.35">
      <c r="B49" s="142"/>
      <c r="C49" s="144" t="s">
        <v>149</v>
      </c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</row>
    <row r="50" spans="2:17" x14ac:dyDescent="0.3">
      <c r="B50" s="142"/>
      <c r="C50" s="143" t="s">
        <v>150</v>
      </c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  <c r="Q50" s="141"/>
    </row>
    <row r="51" spans="2:17" x14ac:dyDescent="0.3">
      <c r="B51" s="142"/>
      <c r="C51" s="143" t="s">
        <v>151</v>
      </c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1"/>
      <c r="Q51" s="141"/>
    </row>
    <row r="52" spans="2:17" x14ac:dyDescent="0.3">
      <c r="B52" s="142"/>
      <c r="C52" s="143" t="s">
        <v>152</v>
      </c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</row>
    <row r="53" spans="2:17" x14ac:dyDescent="0.3">
      <c r="B53" s="142"/>
      <c r="C53" s="143" t="s">
        <v>153</v>
      </c>
      <c r="D53" s="141"/>
      <c r="E53" s="141"/>
      <c r="F53" s="141"/>
      <c r="G53" s="141"/>
      <c r="H53" s="141"/>
      <c r="I53" s="141"/>
      <c r="J53" s="141"/>
      <c r="K53" s="141"/>
      <c r="L53" s="141"/>
      <c r="M53" s="141"/>
      <c r="N53" s="141"/>
      <c r="O53" s="141"/>
      <c r="P53" s="141"/>
      <c r="Q53" s="141"/>
    </row>
    <row r="54" spans="2:17" x14ac:dyDescent="0.3">
      <c r="B54" s="142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</row>
    <row r="55" spans="2:17" x14ac:dyDescent="0.3">
      <c r="B55" s="142"/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</row>
    <row r="56" spans="2:17" ht="18" x14ac:dyDescent="0.35">
      <c r="B56" s="142"/>
      <c r="C56" s="144" t="s">
        <v>154</v>
      </c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  <c r="P56" s="141"/>
      <c r="Q56" s="141"/>
    </row>
    <row r="57" spans="2:17" x14ac:dyDescent="0.3">
      <c r="B57" s="142"/>
      <c r="C57" s="143" t="s">
        <v>155</v>
      </c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41"/>
    </row>
    <row r="58" spans="2:17" x14ac:dyDescent="0.3">
      <c r="B58" s="142"/>
      <c r="C58" s="143" t="s">
        <v>156</v>
      </c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  <c r="P58" s="141"/>
      <c r="Q58" s="141"/>
    </row>
    <row r="59" spans="2:17" x14ac:dyDescent="0.3">
      <c r="B59" s="142"/>
      <c r="C59" s="143" t="s">
        <v>157</v>
      </c>
      <c r="D59" s="141"/>
      <c r="E59" s="141"/>
      <c r="F59" s="141"/>
      <c r="G59" s="141"/>
      <c r="H59" s="141"/>
      <c r="I59" s="141"/>
      <c r="J59" s="141"/>
      <c r="K59" s="141"/>
      <c r="L59" s="141"/>
      <c r="M59" s="141"/>
      <c r="N59" s="141"/>
      <c r="O59" s="141"/>
      <c r="P59" s="141"/>
      <c r="Q59" s="141"/>
    </row>
    <row r="60" spans="2:17" x14ac:dyDescent="0.3">
      <c r="B60" s="142"/>
      <c r="C60" s="141"/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</row>
    <row r="61" spans="2:17" x14ac:dyDescent="0.3">
      <c r="B61" s="142"/>
      <c r="C61" s="143" t="s">
        <v>158</v>
      </c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</row>
    <row r="62" spans="2:17" x14ac:dyDescent="0.3">
      <c r="B62" s="142"/>
      <c r="C62" s="141"/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</row>
  </sheetData>
  <sheetProtection algorithmName="SHA-512" hashValue="bDCKVlWROguDvlX1sfOd2OZE08TLGIg97iUqzOdb1GNDLjbunUzyirea9ON/9zaLJKs1ImAkK21Vc+w7ckXIKQ==" saltValue="e/ml3QHnYZyE17Qkwz1CgQ==" spinCount="100000" sheet="1" objects="1" scenarios="1"/>
  <mergeCells count="54">
    <mergeCell ref="C62:Q62"/>
    <mergeCell ref="C49:Q49"/>
    <mergeCell ref="C50:Q50"/>
    <mergeCell ref="C51:Q51"/>
    <mergeCell ref="C52:Q52"/>
    <mergeCell ref="C53:Q53"/>
    <mergeCell ref="C56:Q56"/>
    <mergeCell ref="C54:Q54"/>
    <mergeCell ref="C55:Q55"/>
    <mergeCell ref="C57:Q57"/>
    <mergeCell ref="C58:Q58"/>
    <mergeCell ref="C59:Q59"/>
    <mergeCell ref="C60:Q60"/>
    <mergeCell ref="C61:Q61"/>
    <mergeCell ref="C47:Q48"/>
    <mergeCell ref="C40:Q40"/>
    <mergeCell ref="C41:Q41"/>
    <mergeCell ref="C42:Q42"/>
    <mergeCell ref="C43:Q43"/>
    <mergeCell ref="C44:Q44"/>
    <mergeCell ref="C45:Q45"/>
    <mergeCell ref="C46:Q46"/>
    <mergeCell ref="C29:Q29"/>
    <mergeCell ref="C30:Q30"/>
    <mergeCell ref="C31:Q31"/>
    <mergeCell ref="C28:Q28"/>
    <mergeCell ref="B38:Q39"/>
    <mergeCell ref="C32:Q32"/>
    <mergeCell ref="C33:Q33"/>
    <mergeCell ref="C34:Q34"/>
    <mergeCell ref="C35:Q35"/>
    <mergeCell ref="C36:Q36"/>
    <mergeCell ref="C37:Q37"/>
    <mergeCell ref="C19:Q19"/>
    <mergeCell ref="C20:Q20"/>
    <mergeCell ref="C10:Q10"/>
    <mergeCell ref="C11:Q11"/>
    <mergeCell ref="C18:Q18"/>
    <mergeCell ref="B40:B62"/>
    <mergeCell ref="C12:Q12"/>
    <mergeCell ref="C13:Q13"/>
    <mergeCell ref="C21:Q21"/>
    <mergeCell ref="C2:Q9"/>
    <mergeCell ref="B2:B37"/>
    <mergeCell ref="C24:Q24"/>
    <mergeCell ref="C25:Q25"/>
    <mergeCell ref="C26:Q26"/>
    <mergeCell ref="C27:Q27"/>
    <mergeCell ref="C22:Q22"/>
    <mergeCell ref="C23:Q23"/>
    <mergeCell ref="C14:Q14"/>
    <mergeCell ref="C15:Q15"/>
    <mergeCell ref="C16:Q16"/>
    <mergeCell ref="C17:Q17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178C2-C49A-4175-93BD-4258308E7AFE}">
  <sheetPr codeName="Blad1">
    <tabColor theme="9" tint="0.39997558519241921"/>
  </sheetPr>
  <dimension ref="B1:Q108"/>
  <sheetViews>
    <sheetView workbookViewId="0">
      <selection activeCell="H11" sqref="H11"/>
    </sheetView>
  </sheetViews>
  <sheetFormatPr defaultRowHeight="14.4" x14ac:dyDescent="0.3"/>
  <cols>
    <col min="1" max="1" width="4.21875" customWidth="1"/>
    <col min="2" max="2" width="24.33203125" customWidth="1"/>
    <col min="3" max="3" width="13.21875" customWidth="1"/>
    <col min="4" max="4" width="10.33203125" customWidth="1"/>
    <col min="5" max="5" width="13.6640625" customWidth="1"/>
    <col min="6" max="6" width="10.6640625" customWidth="1"/>
    <col min="7" max="7" width="22.88671875" customWidth="1"/>
    <col min="8" max="8" width="23.33203125" customWidth="1"/>
    <col min="9" max="9" width="20.77734375" customWidth="1"/>
    <col min="10" max="10" width="14.109375" customWidth="1"/>
    <col min="11" max="11" width="11" customWidth="1"/>
    <col min="13" max="13" width="10.109375" customWidth="1"/>
    <col min="14" max="14" width="10.77734375" customWidth="1"/>
  </cols>
  <sheetData>
    <row r="1" spans="2:11" ht="55.8" customHeight="1" x14ac:dyDescent="0.3">
      <c r="B1" s="153" t="s">
        <v>93</v>
      </c>
      <c r="C1" s="154"/>
      <c r="D1" s="154"/>
      <c r="E1" s="154"/>
      <c r="F1" s="154"/>
      <c r="G1" s="154"/>
      <c r="H1" s="11"/>
      <c r="I1" s="69" t="s">
        <v>0</v>
      </c>
      <c r="J1" s="1"/>
    </row>
    <row r="2" spans="2:11" s="106" customFormat="1" ht="5.4" customHeight="1" x14ac:dyDescent="0.3">
      <c r="B2" s="112">
        <v>8.3333333333333332E-3</v>
      </c>
      <c r="C2" s="112">
        <v>5.5555555555555558E-3</v>
      </c>
      <c r="D2" s="112">
        <v>9.7222222222222224E-3</v>
      </c>
      <c r="E2" s="112">
        <v>6.9444444444444447E-4</v>
      </c>
      <c r="F2" s="112">
        <v>1.1574074074074075E-4</v>
      </c>
      <c r="G2" s="112">
        <v>4.1666666666666664E-2</v>
      </c>
      <c r="H2" s="113">
        <v>3.4722222222222224E-4</v>
      </c>
      <c r="I2" s="113">
        <v>6.9444444444444444E-5</v>
      </c>
      <c r="J2" s="105"/>
    </row>
    <row r="3" spans="2:11" s="106" customFormat="1" ht="5.4" customHeight="1" x14ac:dyDescent="0.3">
      <c r="B3" s="112">
        <f>SUM(B47/5)</f>
        <v>2.9513888888888888E-3</v>
      </c>
      <c r="C3" s="112">
        <f>SUM(B33/10)</f>
        <v>2.7777777777777775E-3</v>
      </c>
      <c r="D3" s="112"/>
      <c r="E3" s="112">
        <v>4.6296296296296294E-5</v>
      </c>
      <c r="F3" s="112"/>
      <c r="G3" s="114">
        <f>SUM(F41*5)/1000</f>
        <v>16.057878559556652</v>
      </c>
      <c r="H3" s="115">
        <f>SUM((F54*5))/1000</f>
        <v>14.581765643151194</v>
      </c>
      <c r="I3" s="113">
        <v>1.1574074074074075E-4</v>
      </c>
      <c r="J3" s="107"/>
    </row>
    <row r="4" spans="2:11" ht="15.6" x14ac:dyDescent="0.3">
      <c r="B4" s="2"/>
      <c r="C4" s="2"/>
      <c r="D4" s="2"/>
      <c r="E4" s="2"/>
      <c r="F4" s="2"/>
      <c r="G4" s="2"/>
      <c r="H4" s="6"/>
      <c r="I4" s="6"/>
      <c r="J4" s="3"/>
      <c r="K4" s="4"/>
    </row>
    <row r="5" spans="2:11" ht="15.6" x14ac:dyDescent="0.3">
      <c r="B5" s="2" t="s">
        <v>40</v>
      </c>
      <c r="C5" s="2"/>
      <c r="D5" s="2"/>
      <c r="E5" s="18" t="s">
        <v>38</v>
      </c>
      <c r="F5" s="2"/>
      <c r="G5" s="18" t="s">
        <v>41</v>
      </c>
      <c r="H5" s="6"/>
      <c r="I5" s="151" t="str">
        <f>IF($G$6="Onder zwak","Nog "&amp;($B$9-$C$12)&amp;" meter tot Zwak",
IF($G$6="Zwak","Nog "&amp;($C$9-$C$12)&amp;" meter tot Redelijk",
IF($G$6="Redelijk","Nog "&amp;($D$9-$C$12)&amp;" meter tot Gemiddeld",
IF($G$6="Gemiddeld","Nog "&amp;($E$9-$C$12)&amp;" meter tot Goed",
IF($G$6="Goed","Nog "&amp;($F$9-$C$12)&amp;" meter tot Uitstekend",
IF($G$6="Uitstekend","Nog "&amp;($G$9-$C$12)&amp;" meter tot Topklasse",
"Topklasse bereikt"))))))</f>
        <v>Nog 200 meter tot Gemiddeld</v>
      </c>
      <c r="J5" s="3"/>
      <c r="K5" s="4"/>
    </row>
    <row r="6" spans="2:11" ht="19.2" customHeight="1" x14ac:dyDescent="0.3">
      <c r="B6" s="72">
        <v>34</v>
      </c>
      <c r="C6" s="2"/>
      <c r="D6" s="2"/>
      <c r="E6" s="73" t="s">
        <v>39</v>
      </c>
      <c r="F6" s="30"/>
      <c r="G6" s="78" t="str">
        <f>IFERROR(INDEX($B$8:$G$8,1,MATCH($C$12,$B$9:$G$9,1)),"Onder zwak")</f>
        <v>Redelijk</v>
      </c>
      <c r="H6" s="50" t="s">
        <v>53</v>
      </c>
      <c r="I6" s="152"/>
      <c r="J6" s="30"/>
      <c r="K6" s="4"/>
    </row>
    <row r="7" spans="2:11" ht="19.2" customHeight="1" x14ac:dyDescent="0.3">
      <c r="B7" s="6"/>
      <c r="C7" s="6"/>
      <c r="D7" s="6"/>
      <c r="E7" s="6"/>
      <c r="F7" s="6"/>
      <c r="G7" s="6"/>
      <c r="H7" s="6"/>
      <c r="I7" s="6"/>
      <c r="J7" s="30"/>
      <c r="K7" s="4"/>
    </row>
    <row r="8" spans="2:11" ht="19.2" customHeight="1" x14ac:dyDescent="0.3">
      <c r="B8" s="77" t="s">
        <v>19</v>
      </c>
      <c r="C8" s="76" t="s">
        <v>20</v>
      </c>
      <c r="D8" s="56" t="s">
        <v>54</v>
      </c>
      <c r="E8" s="75" t="s">
        <v>21</v>
      </c>
      <c r="F8" s="49" t="s">
        <v>22</v>
      </c>
      <c r="G8" s="74" t="s">
        <v>23</v>
      </c>
      <c r="H8" s="30"/>
      <c r="I8" s="6"/>
      <c r="J8" s="30"/>
      <c r="K8" s="4"/>
    </row>
    <row r="9" spans="2:11" ht="19.2" customHeight="1" x14ac:dyDescent="0.3">
      <c r="B9" s="6" cm="1">
        <f t="array" ref="B9:G9">IF($E$6="Man",
_xlfn._xlws.FILTER('Coopertest tabel van 16-90 jaar'!$D$9:$I$24,($B$6&gt;='Coopertest tabel van 16-90 jaar'!$B$9:$B$24)*($B$6&lt;='Coopertest tabel van 16-90 jaar'!$C$9:$C$24)),
_xlfn._xlws.FILTER('Coopertest tabel van 16-90 jaar'!$D$30:$I$45,($B$6&gt;='Coopertest tabel van 16-90 jaar'!$B$30:$B$45)*($B$6&lt;='Coopertest tabel van 16-90 jaar'!$C$30:$C$45)))</f>
        <v>2150</v>
      </c>
      <c r="C9" s="6">
        <v>2540</v>
      </c>
      <c r="D9" s="6">
        <v>2930</v>
      </c>
      <c r="E9" s="6">
        <v>3270</v>
      </c>
      <c r="F9" s="6">
        <v>3654</v>
      </c>
      <c r="G9" s="6">
        <v>4100</v>
      </c>
      <c r="H9" s="6"/>
      <c r="I9" s="6"/>
      <c r="J9" s="30"/>
      <c r="K9" s="4"/>
    </row>
    <row r="10" spans="2:11" ht="18" customHeight="1" x14ac:dyDescent="0.3">
      <c r="B10" s="52" t="str">
        <f>IF($G$6=B$8,"▲","")</f>
        <v/>
      </c>
      <c r="C10" s="52" t="str">
        <f>IF($G$6=C$8,"▲","")</f>
        <v>▲</v>
      </c>
      <c r="D10" s="52" t="str">
        <f t="shared" ref="D10:G10" si="0">IF($G$6=D$8,"▲","")</f>
        <v/>
      </c>
      <c r="E10" s="52" t="str">
        <f t="shared" si="0"/>
        <v/>
      </c>
      <c r="F10" s="52" t="str">
        <f t="shared" si="0"/>
        <v/>
      </c>
      <c r="G10" s="52" t="str">
        <f t="shared" si="0"/>
        <v/>
      </c>
      <c r="H10" s="6"/>
      <c r="I10" s="6"/>
      <c r="J10" s="30"/>
      <c r="K10" s="4"/>
    </row>
    <row r="11" spans="2:11" ht="15.6" x14ac:dyDescent="0.3">
      <c r="B11" s="11"/>
      <c r="C11" s="30"/>
      <c r="D11" s="11"/>
      <c r="E11" s="11"/>
      <c r="F11" s="11"/>
      <c r="G11" s="11"/>
      <c r="H11" s="11"/>
      <c r="I11" s="11"/>
      <c r="J11" s="3"/>
    </row>
    <row r="12" spans="2:11" ht="15.6" x14ac:dyDescent="0.3">
      <c r="B12" s="40" t="s">
        <v>48</v>
      </c>
      <c r="C12" s="91">
        <v>2730</v>
      </c>
      <c r="D12" s="38"/>
      <c r="E12" s="160" t="s">
        <v>92</v>
      </c>
      <c r="F12" s="161"/>
      <c r="G12" s="161"/>
      <c r="H12" s="3"/>
    </row>
    <row r="13" spans="2:11" ht="15.6" x14ac:dyDescent="0.3">
      <c r="C13" s="109"/>
      <c r="D13" s="110"/>
      <c r="H13" s="3"/>
    </row>
    <row r="14" spans="2:11" ht="15.6" x14ac:dyDescent="0.3">
      <c r="D14" s="38"/>
      <c r="E14" s="39"/>
      <c r="F14" s="39"/>
      <c r="G14" s="39"/>
      <c r="H14" s="3"/>
    </row>
    <row r="15" spans="2:11" ht="15.6" x14ac:dyDescent="0.3">
      <c r="B15" s="42" t="s">
        <v>46</v>
      </c>
      <c r="C15" s="43">
        <f>SUM(F29)</f>
        <v>49.745137491616369</v>
      </c>
      <c r="D15" s="38"/>
      <c r="E15" s="167" t="s">
        <v>117</v>
      </c>
      <c r="F15" s="168"/>
      <c r="G15" s="168"/>
      <c r="H15" s="3"/>
    </row>
    <row r="16" spans="2:11" ht="15.6" x14ac:dyDescent="0.3">
      <c r="I16" s="38"/>
      <c r="J16" s="3"/>
    </row>
    <row r="17" spans="2:10" ht="5.4" customHeight="1" x14ac:dyDescent="0.3">
      <c r="B17" s="102"/>
      <c r="C17" s="103"/>
      <c r="D17" s="103"/>
      <c r="E17" s="102"/>
      <c r="F17" s="102"/>
      <c r="G17" s="102"/>
      <c r="H17" s="102"/>
      <c r="I17" s="103"/>
      <c r="J17" s="3"/>
    </row>
    <row r="20" spans="2:10" ht="21" x14ac:dyDescent="0.4">
      <c r="B20" s="45">
        <f>SUM(C12)</f>
        <v>2730</v>
      </c>
      <c r="C20" s="12" t="s">
        <v>1</v>
      </c>
      <c r="D20" s="5"/>
      <c r="E20" s="81">
        <f>SUM(B20*5/1000)</f>
        <v>13.65</v>
      </c>
      <c r="F20" s="15" t="s">
        <v>2</v>
      </c>
      <c r="G20" s="13"/>
      <c r="H20" s="14">
        <f>SUM(G2/E20)</f>
        <v>3.0525030525030521E-3</v>
      </c>
      <c r="I20" s="15" t="s">
        <v>3</v>
      </c>
      <c r="J20" s="7"/>
    </row>
    <row r="21" spans="2:10" ht="15.6" x14ac:dyDescent="0.3">
      <c r="B21" s="16"/>
      <c r="C21" s="11"/>
      <c r="D21" s="5"/>
      <c r="E21" s="16"/>
      <c r="F21" s="17"/>
      <c r="G21" s="17"/>
      <c r="H21" s="18"/>
      <c r="I21" s="18"/>
      <c r="J21" s="7"/>
    </row>
    <row r="22" spans="2:10" ht="15.6" x14ac:dyDescent="0.3">
      <c r="B22" s="5"/>
      <c r="C22" s="6"/>
      <c r="D22" s="17"/>
      <c r="E22" s="19" t="s">
        <v>16</v>
      </c>
      <c r="F22" s="19" t="s">
        <v>12</v>
      </c>
      <c r="G22" s="18"/>
      <c r="H22" s="20" t="s">
        <v>16</v>
      </c>
      <c r="I22" s="20" t="s">
        <v>12</v>
      </c>
    </row>
    <row r="23" spans="2:10" ht="15.6" x14ac:dyDescent="0.3">
      <c r="B23" s="13" t="s">
        <v>4</v>
      </c>
      <c r="C23" s="12"/>
      <c r="D23" s="21"/>
      <c r="E23" s="14">
        <f>SUM(H23*10)</f>
        <v>3.1682437932437926E-2</v>
      </c>
      <c r="F23" s="22">
        <f>(12*(10000/B20)^1.06/1440)</f>
        <v>3.299790349603314E-2</v>
      </c>
      <c r="G23" s="23"/>
      <c r="H23" s="14">
        <f>SUM(H20+I3)</f>
        <v>3.168243793243793E-3</v>
      </c>
      <c r="I23" s="14">
        <f>SUM(F23/10)</f>
        <v>3.2997903496033141E-3</v>
      </c>
    </row>
    <row r="24" spans="2:10" ht="15.6" x14ac:dyDescent="0.3">
      <c r="B24" s="13" t="s">
        <v>5</v>
      </c>
      <c r="C24" s="12"/>
      <c r="D24" s="21"/>
      <c r="E24" s="14">
        <f>SUM(H24*5)</f>
        <v>1.5493996743996742E-2</v>
      </c>
      <c r="F24" s="22">
        <f>(12*(5000/B20)^1.06)/1440</f>
        <v>1.5826852418351144E-2</v>
      </c>
      <c r="G24" s="23"/>
      <c r="H24" s="14">
        <f>SUM(H23-I2)</f>
        <v>3.0987993487993485E-3</v>
      </c>
      <c r="I24" s="14">
        <f>SUM(F24/5)</f>
        <v>3.1653704836702287E-3</v>
      </c>
    </row>
    <row r="25" spans="2:10" ht="15.6" x14ac:dyDescent="0.3">
      <c r="B25" s="13" t="s">
        <v>6</v>
      </c>
      <c r="C25" s="12"/>
      <c r="D25" s="21"/>
      <c r="E25" s="19">
        <f>SUM(H25*3)</f>
        <v>8.9491758241758233E-3</v>
      </c>
      <c r="F25" s="22">
        <f>(12*(3000/B20)^1.06)/1440</f>
        <v>9.209475101805845E-3</v>
      </c>
      <c r="G25" s="23"/>
      <c r="H25" s="19">
        <f>SUM(H24-I3)</f>
        <v>2.9830586080586076E-3</v>
      </c>
      <c r="I25" s="24">
        <f>SUM(F25/3)</f>
        <v>3.0698250339352817E-3</v>
      </c>
    </row>
    <row r="26" spans="2:10" ht="15.6" x14ac:dyDescent="0.3">
      <c r="B26" s="25" t="s">
        <v>13</v>
      </c>
      <c r="C26" s="20"/>
      <c r="D26" s="26"/>
      <c r="E26" s="19">
        <f>SUM(H26*1.5)</f>
        <v>4.3009768009768003E-3</v>
      </c>
      <c r="F26" s="22">
        <f>(12*(1500/B20)^1.06)/1440</f>
        <v>4.4171595114908674E-3</v>
      </c>
      <c r="G26" s="19"/>
      <c r="H26" s="19">
        <f>SUM(H25-I3)</f>
        <v>2.8673178673178667E-3</v>
      </c>
      <c r="I26" s="24">
        <f>SUM(F26/1.5)</f>
        <v>2.9447730076605783E-3</v>
      </c>
    </row>
    <row r="27" spans="2:10" ht="15.6" x14ac:dyDescent="0.3">
      <c r="B27" s="17"/>
      <c r="C27" s="11"/>
      <c r="D27" s="5"/>
      <c r="E27" s="2"/>
      <c r="F27" s="17"/>
      <c r="G27" s="27"/>
      <c r="H27" s="18"/>
      <c r="I27" s="18"/>
      <c r="J27" s="7"/>
    </row>
    <row r="28" spans="2:10" ht="15.6" x14ac:dyDescent="0.3">
      <c r="B28" s="27"/>
      <c r="C28" s="18"/>
      <c r="D28" s="5"/>
      <c r="E28" s="2"/>
      <c r="F28" s="17"/>
      <c r="I28" s="18"/>
      <c r="J28" s="7"/>
    </row>
    <row r="29" spans="2:10" ht="15.6" x14ac:dyDescent="0.3">
      <c r="B29" s="27"/>
      <c r="C29" s="18"/>
      <c r="D29" s="5"/>
      <c r="E29" s="8"/>
      <c r="F29" s="83">
        <f>SUM(C12-504.9)/44.73</f>
        <v>49.745137491616369</v>
      </c>
      <c r="G29" s="11" t="s">
        <v>47</v>
      </c>
      <c r="I29" s="18"/>
      <c r="J29" s="7"/>
    </row>
    <row r="30" spans="2:10" ht="15.6" x14ac:dyDescent="0.3">
      <c r="B30" s="27"/>
      <c r="C30" s="18"/>
      <c r="D30" s="5"/>
      <c r="I30" s="18"/>
      <c r="J30" s="7"/>
    </row>
    <row r="31" spans="2:10" ht="15.6" x14ac:dyDescent="0.3">
      <c r="B31" s="17"/>
      <c r="C31" s="11"/>
      <c r="D31" s="5"/>
      <c r="E31" s="2"/>
      <c r="F31" s="17"/>
      <c r="G31" s="27"/>
      <c r="H31" s="18"/>
      <c r="I31" s="18"/>
      <c r="J31" s="7"/>
    </row>
    <row r="32" spans="2:10" ht="25.8" x14ac:dyDescent="0.5">
      <c r="B32" s="155" t="s">
        <v>7</v>
      </c>
      <c r="C32" s="156"/>
      <c r="D32" s="5"/>
      <c r="E32" s="157" t="s">
        <v>43</v>
      </c>
      <c r="F32" s="157"/>
      <c r="G32" s="157"/>
      <c r="H32" s="157"/>
      <c r="I32" s="5"/>
    </row>
    <row r="33" spans="2:10" ht="21" x14ac:dyDescent="0.4">
      <c r="B33" s="108">
        <v>2.7777777777777776E-2</v>
      </c>
      <c r="C33" s="12" t="s">
        <v>9</v>
      </c>
      <c r="D33" s="21"/>
      <c r="E33" s="81">
        <f>SUM(G2/H33)</f>
        <v>15.000000000000002</v>
      </c>
      <c r="F33" s="15" t="s">
        <v>8</v>
      </c>
      <c r="G33" s="13"/>
      <c r="H33" s="14">
        <f>SUM(B33/10)</f>
        <v>2.7777777777777775E-3</v>
      </c>
      <c r="I33" s="15" t="s">
        <v>3</v>
      </c>
      <c r="J33" s="7"/>
    </row>
    <row r="34" spans="2:10" ht="21.6" customHeight="1" x14ac:dyDescent="0.3">
      <c r="B34" s="5"/>
      <c r="C34" s="11"/>
      <c r="D34" s="5"/>
      <c r="E34" s="16"/>
      <c r="F34" s="17"/>
      <c r="G34" s="17"/>
      <c r="H34" s="18"/>
      <c r="I34" s="6"/>
      <c r="J34" s="7"/>
    </row>
    <row r="35" spans="2:10" ht="31.2" customHeight="1" x14ac:dyDescent="0.3">
      <c r="B35" s="169" t="s">
        <v>118</v>
      </c>
      <c r="C35" s="169"/>
      <c r="D35" s="169"/>
      <c r="E35" s="169"/>
      <c r="F35" s="169"/>
      <c r="G35" s="169"/>
      <c r="H35" s="169"/>
      <c r="I35" s="169"/>
      <c r="J35" s="7"/>
    </row>
    <row r="36" spans="2:10" ht="15.6" x14ac:dyDescent="0.3">
      <c r="B36" s="5"/>
      <c r="C36" s="11"/>
      <c r="D36" s="5"/>
      <c r="E36" s="16"/>
      <c r="F36" s="17"/>
      <c r="G36" s="17"/>
      <c r="H36" s="18"/>
      <c r="I36" s="18"/>
      <c r="J36" s="7"/>
    </row>
    <row r="37" spans="2:10" ht="15.6" x14ac:dyDescent="0.3">
      <c r="B37" s="5"/>
      <c r="C37" s="11"/>
      <c r="D37" s="5"/>
      <c r="E37" s="14" t="s">
        <v>16</v>
      </c>
      <c r="F37" s="14" t="s">
        <v>12</v>
      </c>
      <c r="G37" s="19"/>
      <c r="H37" s="15" t="s">
        <v>16</v>
      </c>
      <c r="I37" s="15" t="s">
        <v>12</v>
      </c>
    </row>
    <row r="38" spans="2:10" ht="15.6" x14ac:dyDescent="0.3">
      <c r="B38" s="13" t="s">
        <v>10</v>
      </c>
      <c r="C38" s="17"/>
      <c r="D38" s="17"/>
      <c r="E38" s="14">
        <f>SUM(B33/2-H2)</f>
        <v>1.3541666666666665E-2</v>
      </c>
      <c r="F38" s="14">
        <f>SUM(B33*(5000/10000)^1.06)</f>
        <v>1.3323112768406448E-2</v>
      </c>
      <c r="G38" s="19"/>
      <c r="H38" s="14">
        <f>SUM(H33-I2)</f>
        <v>2.708333333333333E-3</v>
      </c>
      <c r="I38" s="14">
        <f>SUM(F38/5)</f>
        <v>2.6646225536812894E-3</v>
      </c>
    </row>
    <row r="39" spans="2:10" ht="15.6" x14ac:dyDescent="0.3">
      <c r="B39" s="17"/>
      <c r="C39" s="17"/>
      <c r="D39" s="17"/>
      <c r="E39" s="18"/>
      <c r="F39" s="18"/>
      <c r="G39" s="18"/>
      <c r="H39" s="18"/>
      <c r="I39" s="18"/>
    </row>
    <row r="40" spans="2:10" ht="15.6" x14ac:dyDescent="0.3">
      <c r="B40" s="17"/>
      <c r="C40" s="17"/>
      <c r="D40" s="17"/>
      <c r="E40" s="5"/>
      <c r="F40" s="5"/>
      <c r="G40" s="5"/>
      <c r="H40" s="18"/>
      <c r="I40" s="18"/>
      <c r="J40" s="7"/>
    </row>
    <row r="41" spans="2:10" ht="15.6" x14ac:dyDescent="0.3">
      <c r="B41" s="13" t="s">
        <v>14</v>
      </c>
      <c r="C41" s="17"/>
      <c r="D41" s="17"/>
      <c r="E41" s="28">
        <f>SUM(B2/H41*1000)</f>
        <v>3130.4347826086964</v>
      </c>
      <c r="F41" s="28">
        <f>10000*(12/(B33*1440))^(1/1.06)</f>
        <v>3211.5757119113305</v>
      </c>
      <c r="G41" s="5"/>
      <c r="H41" s="14">
        <f>SUM(H38-E3)</f>
        <v>2.6620370370370365E-3</v>
      </c>
      <c r="I41" s="14">
        <f>SUM(G2/G3)</f>
        <v>2.5947802825964984E-3</v>
      </c>
      <c r="J41" s="7"/>
    </row>
    <row r="42" spans="2:10" ht="16.2" customHeight="1" x14ac:dyDescent="0.3">
      <c r="B42" s="17"/>
      <c r="C42" s="11"/>
      <c r="D42" s="11"/>
      <c r="E42" s="17"/>
      <c r="F42" s="5"/>
      <c r="G42" s="17"/>
      <c r="H42" s="6"/>
      <c r="I42" s="6"/>
      <c r="J42" s="3"/>
    </row>
    <row r="43" spans="2:10" ht="16.2" customHeight="1" x14ac:dyDescent="0.3">
      <c r="B43" s="17"/>
      <c r="C43" s="11"/>
      <c r="D43" s="11"/>
      <c r="E43" s="17"/>
      <c r="F43" s="5"/>
      <c r="G43" s="17"/>
      <c r="H43" s="6"/>
      <c r="I43" s="6"/>
      <c r="J43" s="3"/>
    </row>
    <row r="44" spans="2:10" ht="16.2" customHeight="1" x14ac:dyDescent="0.3">
      <c r="B44" s="17"/>
      <c r="C44" s="5"/>
      <c r="D44" s="5"/>
      <c r="E44" s="17"/>
      <c r="F44" s="17"/>
      <c r="G44" s="17"/>
      <c r="H44" s="17"/>
      <c r="I44" s="17"/>
      <c r="J44" s="8"/>
    </row>
    <row r="45" spans="2:10" ht="16.2" customHeight="1" x14ac:dyDescent="0.3">
      <c r="B45" s="17"/>
      <c r="C45" s="5"/>
      <c r="D45" s="5"/>
      <c r="E45" s="17"/>
      <c r="F45" s="17"/>
      <c r="G45" s="17"/>
      <c r="H45" s="17"/>
      <c r="I45" s="17"/>
      <c r="J45" s="8"/>
    </row>
    <row r="46" spans="2:10" ht="25.8" x14ac:dyDescent="0.5">
      <c r="B46" s="158" t="s">
        <v>15</v>
      </c>
      <c r="C46" s="142"/>
      <c r="D46" s="5"/>
      <c r="E46" s="159" t="s">
        <v>44</v>
      </c>
      <c r="F46" s="159"/>
      <c r="G46" s="159"/>
      <c r="H46" s="159"/>
      <c r="I46" s="5"/>
      <c r="J46" s="7"/>
    </row>
    <row r="47" spans="2:10" ht="21" x14ac:dyDescent="0.4">
      <c r="B47" s="10">
        <v>1.4756944444444444E-2</v>
      </c>
      <c r="C47" s="119" t="s">
        <v>9</v>
      </c>
      <c r="D47" s="21"/>
      <c r="E47" s="81">
        <f>SUM(G2/H47)</f>
        <v>14.117647058823529</v>
      </c>
      <c r="F47" s="15" t="s">
        <v>8</v>
      </c>
      <c r="G47" s="13"/>
      <c r="H47" s="14">
        <f>SUM(B47/5)</f>
        <v>2.9513888888888888E-3</v>
      </c>
      <c r="I47" s="15" t="s">
        <v>3</v>
      </c>
      <c r="J47" s="7"/>
    </row>
    <row r="48" spans="2:10" ht="15.6" x14ac:dyDescent="0.3">
      <c r="B48" s="17"/>
      <c r="C48" s="5"/>
      <c r="D48" s="5"/>
      <c r="E48" s="5"/>
      <c r="F48" s="5"/>
      <c r="G48" s="5"/>
      <c r="H48" s="5"/>
      <c r="I48" s="5"/>
      <c r="J48" s="7"/>
    </row>
    <row r="49" spans="2:17" ht="28.8" customHeight="1" x14ac:dyDescent="0.3">
      <c r="B49" s="169" t="s">
        <v>118</v>
      </c>
      <c r="C49" s="170"/>
      <c r="D49" s="170"/>
      <c r="E49" s="170"/>
      <c r="F49" s="170"/>
      <c r="G49" s="170"/>
      <c r="H49" s="170"/>
      <c r="I49" s="170"/>
      <c r="J49" s="7"/>
    </row>
    <row r="50" spans="2:17" ht="15.6" x14ac:dyDescent="0.3">
      <c r="B50" s="5"/>
      <c r="C50" s="5"/>
      <c r="D50" s="5"/>
      <c r="E50" s="5"/>
      <c r="F50" s="5"/>
      <c r="G50" s="5"/>
      <c r="H50" s="5"/>
      <c r="I50" s="5"/>
      <c r="J50" s="7"/>
    </row>
    <row r="51" spans="2:17" ht="15.6" x14ac:dyDescent="0.3">
      <c r="B51" s="5"/>
      <c r="C51" s="5"/>
      <c r="D51" s="5"/>
      <c r="E51" s="19" t="s">
        <v>16</v>
      </c>
      <c r="F51" s="19" t="s">
        <v>12</v>
      </c>
      <c r="G51" s="17"/>
      <c r="H51" s="20" t="s">
        <v>16</v>
      </c>
      <c r="I51" s="20" t="s">
        <v>12</v>
      </c>
      <c r="J51" s="3"/>
    </row>
    <row r="52" spans="2:17" ht="15.6" x14ac:dyDescent="0.3">
      <c r="B52" s="149" t="s">
        <v>11</v>
      </c>
      <c r="C52" s="150"/>
      <c r="D52" s="150"/>
      <c r="E52" s="14">
        <f>SUM(H52*10)</f>
        <v>3.0208333333333334E-2</v>
      </c>
      <c r="F52" s="29">
        <f>SUM((B47*1440)*(10000/5000)^1.06/1440)</f>
        <v>3.0767218635935872E-2</v>
      </c>
      <c r="G52" s="17"/>
      <c r="H52" s="14">
        <f>SUM(H47+I2)</f>
        <v>3.0208333333333333E-3</v>
      </c>
      <c r="I52" s="14">
        <f>SUM(F52/10)</f>
        <v>3.0767218635935874E-3</v>
      </c>
      <c r="J52" s="3"/>
    </row>
    <row r="53" spans="2:17" ht="15.6" x14ac:dyDescent="0.3">
      <c r="B53" s="5"/>
      <c r="C53" s="5"/>
      <c r="D53" s="5"/>
      <c r="E53" s="17"/>
      <c r="F53" s="17"/>
      <c r="G53" s="17"/>
      <c r="H53" s="6"/>
      <c r="I53" s="6"/>
      <c r="J53" s="3"/>
    </row>
    <row r="54" spans="2:17" ht="15.6" x14ac:dyDescent="0.3">
      <c r="B54" s="13" t="s">
        <v>14</v>
      </c>
      <c r="C54" s="5"/>
      <c r="D54" s="5"/>
      <c r="E54" s="28">
        <f>SUM(B2/H54)*1000</f>
        <v>2868.5258964143427</v>
      </c>
      <c r="F54" s="28">
        <f>5000*(12/(B47*1440))^(1/1.06)</f>
        <v>2916.3531286302386</v>
      </c>
      <c r="G54" s="5"/>
      <c r="H54" s="14">
        <f>SUM(H52-I3)</f>
        <v>2.9050925925925924E-3</v>
      </c>
      <c r="I54" s="14">
        <f>SUM(G2/H3)</f>
        <v>2.85745002946449E-3</v>
      </c>
      <c r="J54" s="9"/>
    </row>
    <row r="59" spans="2:17" ht="25.8" x14ac:dyDescent="0.5">
      <c r="B59" s="104" t="s">
        <v>85</v>
      </c>
      <c r="C59" s="5"/>
      <c r="D59" s="5"/>
      <c r="E59" s="5" t="s">
        <v>88</v>
      </c>
      <c r="F59" s="5"/>
      <c r="G59" s="5"/>
    </row>
    <row r="60" spans="2:17" ht="21" x14ac:dyDescent="0.4">
      <c r="B60" s="10">
        <v>3.472222222222222E-3</v>
      </c>
      <c r="E60" s="121">
        <f>SUM(G2/B60)/5*1000</f>
        <v>2400</v>
      </c>
      <c r="F60" s="111" t="s">
        <v>86</v>
      </c>
    </row>
    <row r="63" spans="2:17" x14ac:dyDescent="0.3">
      <c r="B63" s="5" t="s">
        <v>49</v>
      </c>
      <c r="D63" s="5"/>
    </row>
    <row r="64" spans="2:17" x14ac:dyDescent="0.3">
      <c r="B64" s="46"/>
      <c r="C64" s="142" t="s">
        <v>50</v>
      </c>
      <c r="D64" s="142"/>
      <c r="E64" s="142"/>
      <c r="F64" s="148" t="s">
        <v>116</v>
      </c>
      <c r="G64" s="166"/>
      <c r="H64" s="162" t="s">
        <v>115</v>
      </c>
      <c r="I64" s="163"/>
      <c r="J64" s="123"/>
      <c r="K64" s="123"/>
      <c r="L64" s="123"/>
      <c r="M64" s="123"/>
      <c r="N64" s="123"/>
      <c r="O64" s="123"/>
      <c r="P64" s="123"/>
      <c r="Q64" s="123"/>
    </row>
    <row r="65" spans="2:9" ht="12" customHeight="1" x14ac:dyDescent="0.3">
      <c r="B65" s="47"/>
      <c r="C65" s="5" t="s">
        <v>51</v>
      </c>
      <c r="D65" s="5"/>
      <c r="E65" s="5"/>
      <c r="F65" t="s">
        <v>81</v>
      </c>
      <c r="H65" s="125"/>
      <c r="I65" s="126"/>
    </row>
    <row r="66" spans="2:9" x14ac:dyDescent="0.3">
      <c r="B66" s="48"/>
      <c r="C66" s="5" t="s">
        <v>52</v>
      </c>
      <c r="D66" s="5"/>
      <c r="E66" s="5"/>
      <c r="F66" t="s">
        <v>78</v>
      </c>
      <c r="H66" s="164" t="s">
        <v>98</v>
      </c>
      <c r="I66" s="165"/>
    </row>
    <row r="67" spans="2:9" x14ac:dyDescent="0.3">
      <c r="F67" t="s">
        <v>79</v>
      </c>
      <c r="H67" s="164" t="s">
        <v>97</v>
      </c>
      <c r="I67" s="165"/>
    </row>
    <row r="68" spans="2:9" x14ac:dyDescent="0.3">
      <c r="F68" t="s">
        <v>80</v>
      </c>
      <c r="H68" s="164" t="s">
        <v>96</v>
      </c>
      <c r="I68" s="165"/>
    </row>
    <row r="69" spans="2:9" x14ac:dyDescent="0.3">
      <c r="F69" t="s">
        <v>82</v>
      </c>
      <c r="H69" s="171" t="s">
        <v>95</v>
      </c>
      <c r="I69" s="172"/>
    </row>
    <row r="72" spans="2:9" ht="4.8" customHeight="1" x14ac:dyDescent="0.3">
      <c r="B72" s="71"/>
      <c r="C72" s="71"/>
      <c r="D72" s="71"/>
      <c r="E72" s="71"/>
      <c r="F72" s="71"/>
      <c r="G72" s="71"/>
      <c r="H72" s="71"/>
      <c r="I72" s="71"/>
    </row>
    <row r="74" spans="2:9" x14ac:dyDescent="0.3">
      <c r="B74" s="141"/>
      <c r="C74" s="142"/>
      <c r="D74" s="142"/>
      <c r="E74" s="142"/>
      <c r="F74" s="142"/>
      <c r="G74" s="142"/>
      <c r="H74" s="142"/>
      <c r="I74" s="142"/>
    </row>
    <row r="75" spans="2:9" x14ac:dyDescent="0.3">
      <c r="B75" s="143" t="s">
        <v>99</v>
      </c>
      <c r="C75" s="142"/>
      <c r="D75" s="142"/>
      <c r="E75" s="142"/>
      <c r="F75" s="142"/>
      <c r="G75" s="142"/>
      <c r="H75" s="142"/>
      <c r="I75" s="142"/>
    </row>
    <row r="76" spans="2:9" x14ac:dyDescent="0.3">
      <c r="B76" s="141"/>
      <c r="C76" s="142"/>
      <c r="D76" s="142"/>
      <c r="E76" s="142"/>
      <c r="F76" s="142"/>
      <c r="G76" s="142"/>
      <c r="H76" s="142"/>
      <c r="I76" s="142"/>
    </row>
    <row r="77" spans="2:9" x14ac:dyDescent="0.3">
      <c r="B77" s="143" t="s">
        <v>100</v>
      </c>
      <c r="C77" s="142"/>
      <c r="D77" s="142"/>
      <c r="E77" s="142"/>
      <c r="F77" s="142"/>
      <c r="G77" s="142"/>
      <c r="H77" s="142"/>
      <c r="I77" s="142"/>
    </row>
    <row r="78" spans="2:9" x14ac:dyDescent="0.3">
      <c r="B78" s="143" t="s">
        <v>101</v>
      </c>
      <c r="C78" s="142"/>
      <c r="D78" s="142"/>
      <c r="E78" s="142"/>
      <c r="F78" s="142"/>
      <c r="G78" s="142"/>
      <c r="H78" s="142"/>
      <c r="I78" s="142"/>
    </row>
    <row r="79" spans="2:9" x14ac:dyDescent="0.3">
      <c r="B79" s="143" t="s">
        <v>102</v>
      </c>
      <c r="C79" s="142"/>
      <c r="D79" s="142"/>
      <c r="E79" s="142"/>
      <c r="F79" s="142"/>
      <c r="G79" s="142"/>
      <c r="H79" s="142"/>
      <c r="I79" s="142"/>
    </row>
    <row r="80" spans="2:9" x14ac:dyDescent="0.3">
      <c r="B80" s="141"/>
      <c r="C80" s="142"/>
      <c r="D80" s="142"/>
      <c r="E80" s="142"/>
      <c r="F80" s="142"/>
      <c r="G80" s="142"/>
      <c r="H80" s="142"/>
      <c r="I80" s="142"/>
    </row>
    <row r="81" spans="2:9" x14ac:dyDescent="0.3">
      <c r="B81" s="143" t="s">
        <v>103</v>
      </c>
      <c r="C81" s="142"/>
      <c r="D81" s="142"/>
      <c r="E81" s="142"/>
      <c r="F81" s="142"/>
      <c r="G81" s="142"/>
      <c r="H81" s="142"/>
      <c r="I81" s="142"/>
    </row>
    <row r="82" spans="2:9" x14ac:dyDescent="0.3">
      <c r="B82" s="143" t="s">
        <v>104</v>
      </c>
      <c r="C82" s="142"/>
      <c r="D82" s="142"/>
      <c r="E82" s="142"/>
      <c r="F82" s="142"/>
      <c r="G82" s="142"/>
      <c r="H82" s="142"/>
      <c r="I82" s="142"/>
    </row>
    <row r="83" spans="2:9" x14ac:dyDescent="0.3">
      <c r="B83" s="143" t="s">
        <v>105</v>
      </c>
      <c r="C83" s="142"/>
      <c r="D83" s="142"/>
      <c r="E83" s="142"/>
      <c r="F83" s="142"/>
      <c r="G83" s="142"/>
      <c r="H83" s="142"/>
      <c r="I83" s="142"/>
    </row>
    <row r="84" spans="2:9" x14ac:dyDescent="0.3">
      <c r="B84" s="143" t="s">
        <v>106</v>
      </c>
      <c r="C84" s="142"/>
      <c r="D84" s="142"/>
      <c r="E84" s="142"/>
      <c r="F84" s="142"/>
      <c r="G84" s="142"/>
      <c r="H84" s="142"/>
      <c r="I84" s="142"/>
    </row>
    <row r="85" spans="2:9" x14ac:dyDescent="0.3">
      <c r="B85" s="141"/>
      <c r="C85" s="142"/>
      <c r="D85" s="142"/>
      <c r="E85" s="142"/>
      <c r="F85" s="142"/>
      <c r="G85" s="142"/>
      <c r="H85" s="142"/>
      <c r="I85" s="142"/>
    </row>
    <row r="86" spans="2:9" x14ac:dyDescent="0.3">
      <c r="B86" s="143" t="s">
        <v>107</v>
      </c>
      <c r="C86" s="142"/>
      <c r="D86" s="142"/>
      <c r="E86" s="142"/>
      <c r="F86" s="142"/>
      <c r="G86" s="142"/>
      <c r="H86" s="142"/>
      <c r="I86" s="142"/>
    </row>
    <row r="87" spans="2:9" x14ac:dyDescent="0.3">
      <c r="B87" s="143" t="s">
        <v>108</v>
      </c>
      <c r="C87" s="142"/>
      <c r="D87" s="142"/>
      <c r="E87" s="142"/>
      <c r="F87" s="142"/>
      <c r="G87" s="142"/>
      <c r="H87" s="142"/>
      <c r="I87" s="142"/>
    </row>
    <row r="88" spans="2:9" x14ac:dyDescent="0.3">
      <c r="B88" s="141"/>
      <c r="C88" s="142"/>
      <c r="D88" s="142"/>
      <c r="E88" s="142"/>
      <c r="F88" s="142"/>
      <c r="G88" s="142"/>
      <c r="H88" s="142"/>
      <c r="I88" s="142"/>
    </row>
    <row r="89" spans="2:9" x14ac:dyDescent="0.3">
      <c r="B89" s="143" t="s">
        <v>114</v>
      </c>
      <c r="C89" s="142"/>
      <c r="D89" s="142"/>
      <c r="E89" s="142"/>
      <c r="F89" s="142"/>
      <c r="G89" s="142"/>
      <c r="H89" s="142"/>
      <c r="I89" s="142"/>
    </row>
    <row r="90" spans="2:9" x14ac:dyDescent="0.3">
      <c r="B90" s="143" t="s">
        <v>113</v>
      </c>
      <c r="C90" s="142"/>
      <c r="D90" s="142"/>
      <c r="E90" s="142"/>
      <c r="F90" s="142"/>
      <c r="G90" s="142"/>
      <c r="H90" s="142"/>
      <c r="I90" s="142"/>
    </row>
    <row r="91" spans="2:9" x14ac:dyDescent="0.3">
      <c r="B91" s="143" t="s">
        <v>109</v>
      </c>
      <c r="C91" s="142"/>
      <c r="D91" s="142"/>
      <c r="E91" s="142"/>
      <c r="F91" s="142"/>
      <c r="G91" s="142"/>
      <c r="H91" s="142"/>
      <c r="I91" s="142"/>
    </row>
    <row r="92" spans="2:9" x14ac:dyDescent="0.3">
      <c r="B92" s="141"/>
      <c r="C92" s="142"/>
      <c r="D92" s="142"/>
      <c r="E92" s="142"/>
      <c r="F92" s="142"/>
      <c r="G92" s="142"/>
      <c r="H92" s="142"/>
      <c r="I92" s="142"/>
    </row>
    <row r="93" spans="2:9" x14ac:dyDescent="0.3">
      <c r="B93" s="143" t="s">
        <v>110</v>
      </c>
      <c r="C93" s="142"/>
      <c r="D93" s="142"/>
      <c r="E93" s="142"/>
      <c r="F93" s="142"/>
      <c r="G93" s="142"/>
      <c r="H93" s="142"/>
      <c r="I93" s="142"/>
    </row>
    <row r="94" spans="2:9" x14ac:dyDescent="0.3">
      <c r="B94" s="143" t="s">
        <v>111</v>
      </c>
      <c r="C94" s="142"/>
      <c r="D94" s="142"/>
      <c r="E94" s="142"/>
      <c r="F94" s="142"/>
      <c r="G94" s="142"/>
      <c r="H94" s="142"/>
      <c r="I94" s="142"/>
    </row>
    <row r="95" spans="2:9" x14ac:dyDescent="0.3">
      <c r="B95" s="141"/>
      <c r="C95" s="142"/>
      <c r="D95" s="142"/>
      <c r="E95" s="142"/>
      <c r="F95" s="142"/>
      <c r="G95" s="142"/>
      <c r="H95" s="142"/>
      <c r="I95" s="142"/>
    </row>
    <row r="96" spans="2:9" x14ac:dyDescent="0.3">
      <c r="B96" s="143" t="s">
        <v>112</v>
      </c>
      <c r="C96" s="142"/>
      <c r="D96" s="142"/>
      <c r="E96" s="142"/>
      <c r="F96" s="142"/>
      <c r="G96" s="142"/>
      <c r="H96" s="142"/>
      <c r="I96" s="142"/>
    </row>
    <row r="97" spans="2:9" x14ac:dyDescent="0.3">
      <c r="B97" s="141"/>
      <c r="C97" s="142"/>
      <c r="D97" s="142"/>
      <c r="E97" s="142"/>
      <c r="F97" s="142"/>
      <c r="G97" s="142"/>
      <c r="H97" s="142"/>
      <c r="I97" s="142"/>
    </row>
    <row r="100" spans="2:9" x14ac:dyDescent="0.3">
      <c r="B100" s="148" t="s">
        <v>87</v>
      </c>
      <c r="C100" s="148"/>
      <c r="D100" s="148"/>
      <c r="E100" s="148"/>
      <c r="F100" s="148"/>
      <c r="G100" s="148"/>
      <c r="H100" s="148"/>
      <c r="I100" s="148"/>
    </row>
    <row r="102" spans="2:9" x14ac:dyDescent="0.3">
      <c r="H102" s="37" t="s">
        <v>36</v>
      </c>
      <c r="I102" s="37" t="s">
        <v>37</v>
      </c>
    </row>
    <row r="103" spans="2:9" ht="15.6" x14ac:dyDescent="0.3">
      <c r="B103" s="34" t="s">
        <v>25</v>
      </c>
      <c r="E103" s="88">
        <v>2.8935185185185185E-2</v>
      </c>
      <c r="H103" s="84">
        <f>SUM(E103/10)</f>
        <v>2.8935185185185184E-3</v>
      </c>
      <c r="I103" s="6"/>
    </row>
    <row r="104" spans="2:9" ht="15.6" x14ac:dyDescent="0.3">
      <c r="B104" s="35" t="s">
        <v>32</v>
      </c>
      <c r="F104" s="31" t="s">
        <v>30</v>
      </c>
      <c r="G104" t="s">
        <v>26</v>
      </c>
      <c r="H104" s="85">
        <f>SUM(H103-I2)</f>
        <v>2.8240740740740739E-3</v>
      </c>
      <c r="I104" s="84">
        <f>SUM(H104*5)</f>
        <v>1.412037037037037E-2</v>
      </c>
    </row>
    <row r="105" spans="2:9" ht="15.6" x14ac:dyDescent="0.3">
      <c r="B105" s="36" t="s">
        <v>33</v>
      </c>
      <c r="F105" s="31" t="s">
        <v>30</v>
      </c>
      <c r="G105" t="s">
        <v>27</v>
      </c>
      <c r="H105" s="85">
        <f>SUM(H104-I3)</f>
        <v>2.708333333333333E-3</v>
      </c>
      <c r="I105" s="84">
        <f>SUM(H105*3)</f>
        <v>8.1249999999999985E-3</v>
      </c>
    </row>
    <row r="106" spans="2:9" ht="15.6" x14ac:dyDescent="0.3">
      <c r="B106" s="36" t="s">
        <v>34</v>
      </c>
      <c r="F106" s="31" t="s">
        <v>29</v>
      </c>
      <c r="G106" t="s">
        <v>28</v>
      </c>
      <c r="H106" s="85">
        <f>SUM(H105-I3)</f>
        <v>2.5925925925925921E-3</v>
      </c>
      <c r="I106" s="84">
        <f>SUM(H106*1.5)</f>
        <v>3.8888888888888879E-3</v>
      </c>
    </row>
    <row r="107" spans="2:9" ht="15.6" x14ac:dyDescent="0.3">
      <c r="F107" s="31"/>
      <c r="G107" s="32"/>
      <c r="H107" s="86"/>
      <c r="I107" s="86"/>
    </row>
    <row r="108" spans="2:9" ht="15.6" x14ac:dyDescent="0.3">
      <c r="B108" s="33" t="s">
        <v>31</v>
      </c>
      <c r="F108" s="31" t="s">
        <v>30</v>
      </c>
      <c r="G108" s="32" t="s">
        <v>35</v>
      </c>
      <c r="H108" s="85">
        <f>SUM(H103-I3)</f>
        <v>2.7777777777777775E-3</v>
      </c>
      <c r="I108" s="87">
        <f>SUM(B2/H108)*1000</f>
        <v>3000.0000000000005</v>
      </c>
    </row>
  </sheetData>
  <sheetProtection algorithmName="SHA-512" hashValue="qyjf7tUJOxc5USQr8F8IoBC7ulUKep9dEnRH1L9moprJFp/vfsxlmFp9kJzPea/ctAtmwcxybL8gfLV1vRb3BQ==" saltValue="UWXRxrbtzy9skdj1FvUxoQ==" spinCount="100000" sheet="1" objects="1" scenarios="1"/>
  <mergeCells count="43">
    <mergeCell ref="E15:G15"/>
    <mergeCell ref="B35:I35"/>
    <mergeCell ref="B49:I49"/>
    <mergeCell ref="B93:I93"/>
    <mergeCell ref="B83:I83"/>
    <mergeCell ref="B84:I84"/>
    <mergeCell ref="B85:I85"/>
    <mergeCell ref="B86:I86"/>
    <mergeCell ref="B87:I87"/>
    <mergeCell ref="B78:I78"/>
    <mergeCell ref="B79:I79"/>
    <mergeCell ref="B80:I80"/>
    <mergeCell ref="B81:I81"/>
    <mergeCell ref="B82:I82"/>
    <mergeCell ref="H69:I69"/>
    <mergeCell ref="B77:I77"/>
    <mergeCell ref="B97:I97"/>
    <mergeCell ref="B88:I88"/>
    <mergeCell ref="B89:I89"/>
    <mergeCell ref="B90:I90"/>
    <mergeCell ref="B91:I91"/>
    <mergeCell ref="B92:I92"/>
    <mergeCell ref="C64:E64"/>
    <mergeCell ref="B94:I94"/>
    <mergeCell ref="B95:I95"/>
    <mergeCell ref="B96:I96"/>
    <mergeCell ref="F64:G64"/>
    <mergeCell ref="B100:I100"/>
    <mergeCell ref="B52:D52"/>
    <mergeCell ref="I5:I6"/>
    <mergeCell ref="B1:G1"/>
    <mergeCell ref="B32:C32"/>
    <mergeCell ref="E32:H32"/>
    <mergeCell ref="B46:C46"/>
    <mergeCell ref="E46:H46"/>
    <mergeCell ref="E12:G12"/>
    <mergeCell ref="H64:I64"/>
    <mergeCell ref="H66:I66"/>
    <mergeCell ref="H67:I67"/>
    <mergeCell ref="H68:I68"/>
    <mergeCell ref="B75:I75"/>
    <mergeCell ref="B74:I74"/>
    <mergeCell ref="B76:I76"/>
  </mergeCells>
  <dataValidations count="3">
    <dataValidation errorStyle="information" allowBlank="1" promptTitle="Ongeldige invoer" prompt="Vul een getal in tussen de 800 en 4700" sqref="B20" xr:uid="{83747851-5682-43CD-9172-8E83FD69A29F}"/>
    <dataValidation errorStyle="information" allowBlank="1" promptTitle="Ongeldige invoer" prompt="Voer een tijd in tussen de 00:23:00 en 02:30:00" sqref="B33" xr:uid="{60E6B827-597A-4AF9-8F16-7D07176CDE9A}"/>
    <dataValidation type="time" allowBlank="1" promptTitle="Ongeldige invoer" prompt="Voer een tijd in tussen de 00:10:00 en 01:30:00" sqref="B47" xr:uid="{69251496-7270-4E01-B5AF-D186064A2435}">
      <formula1>0.00694444444444444</formula1>
      <formula2>0.0625</formula2>
    </dataValidation>
  </dataValidations>
  <pageMargins left="0.7" right="0.7" top="0.75" bottom="0.75" header="0.3" footer="0.3"/>
  <pageSetup paperSize="9" orientation="portrait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F676D46-9D16-4A20-8C3F-BA6F8D4782B0}">
          <x14:formula1>
            <xm:f>Normen!$B$3:$B$4</xm:f>
          </x14:formula1>
          <xm:sqref>E6</xm:sqref>
        </x14:dataValidation>
        <x14:dataValidation type="list" allowBlank="1" showInputMessage="1" showErrorMessage="1" xr:uid="{2BE69F19-A59F-4F08-8E25-D6827B7279AF}">
          <x14:formula1>
            <xm:f>Normen!$A$6:$A$81</xm:f>
          </x14:formula1>
          <xm:sqref>B6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B06F5-3C34-4FE4-9B03-7CD74DE845E7}">
  <sheetPr>
    <tabColor rgb="FFFFFF00"/>
  </sheetPr>
  <dimension ref="B1:K61"/>
  <sheetViews>
    <sheetView workbookViewId="0">
      <selection activeCell="B8" sqref="B8"/>
    </sheetView>
  </sheetViews>
  <sheetFormatPr defaultRowHeight="14.4" x14ac:dyDescent="0.3"/>
  <cols>
    <col min="1" max="1" width="4.21875" customWidth="1"/>
    <col min="2" max="2" width="24.33203125" customWidth="1"/>
    <col min="3" max="3" width="13.21875" customWidth="1"/>
    <col min="4" max="4" width="10.33203125" customWidth="1"/>
    <col min="5" max="5" width="13.6640625" customWidth="1"/>
    <col min="6" max="6" width="10.6640625" customWidth="1"/>
    <col min="7" max="7" width="23" customWidth="1"/>
    <col min="8" max="8" width="23.33203125" customWidth="1"/>
    <col min="9" max="9" width="20.44140625" customWidth="1"/>
    <col min="10" max="10" width="14.109375" customWidth="1"/>
    <col min="11" max="11" width="11" customWidth="1"/>
    <col min="13" max="13" width="10.109375" customWidth="1"/>
    <col min="14" max="14" width="10.77734375" customWidth="1"/>
  </cols>
  <sheetData>
    <row r="1" spans="2:11" ht="53.4" customHeight="1" x14ac:dyDescent="0.3">
      <c r="B1" s="176" t="s">
        <v>94</v>
      </c>
      <c r="C1" s="177"/>
      <c r="D1" s="177"/>
      <c r="E1" s="177"/>
      <c r="F1" s="177"/>
      <c r="G1" s="177"/>
      <c r="H1" s="11"/>
      <c r="I1" s="70" t="s">
        <v>0</v>
      </c>
      <c r="J1" s="1"/>
    </row>
    <row r="2" spans="2:11" s="106" customFormat="1" ht="5.4" customHeight="1" x14ac:dyDescent="0.3">
      <c r="B2" s="112">
        <v>8.3333333333333332E-3</v>
      </c>
      <c r="C2" s="112">
        <v>5.5555555555555558E-3</v>
      </c>
      <c r="D2" s="112">
        <v>9.7222222222222224E-3</v>
      </c>
      <c r="E2" s="112">
        <v>6.9444444444444447E-4</v>
      </c>
      <c r="F2" s="112">
        <v>1.1574074074074075E-4</v>
      </c>
      <c r="G2" s="112">
        <v>4.1666666666666664E-2</v>
      </c>
      <c r="H2" s="113">
        <v>3.4722222222222224E-4</v>
      </c>
      <c r="I2" s="113">
        <v>6.9444444444444444E-5</v>
      </c>
      <c r="J2" s="105"/>
    </row>
    <row r="3" spans="2:11" s="106" customFormat="1" ht="5.4" customHeight="1" x14ac:dyDescent="0.3">
      <c r="B3" s="112"/>
      <c r="C3" s="112"/>
      <c r="D3" s="112"/>
      <c r="E3" s="112">
        <v>4.6296296296296294E-5</v>
      </c>
      <c r="F3" s="116">
        <v>1.5</v>
      </c>
      <c r="G3" s="117">
        <f>SUM(D27/F3)</f>
        <v>2.8277088580015495E-3</v>
      </c>
      <c r="H3" s="115"/>
      <c r="I3" s="113">
        <v>1.1574074074074075E-4</v>
      </c>
      <c r="J3" s="107"/>
    </row>
    <row r="4" spans="2:11" s="106" customFormat="1" ht="18" customHeight="1" x14ac:dyDescent="0.3">
      <c r="B4" s="2"/>
      <c r="C4" s="2"/>
      <c r="D4" s="2"/>
      <c r="E4" s="2"/>
      <c r="F4" s="2"/>
      <c r="G4" s="2"/>
      <c r="H4" s="6"/>
      <c r="I4" s="6"/>
      <c r="J4" s="107"/>
    </row>
    <row r="5" spans="2:11" ht="15.6" x14ac:dyDescent="0.3">
      <c r="B5" s="160" t="s">
        <v>91</v>
      </c>
      <c r="C5" s="161"/>
      <c r="D5" s="161"/>
      <c r="E5" s="2"/>
      <c r="F5" s="2"/>
      <c r="J5" s="3"/>
      <c r="K5" s="4"/>
    </row>
    <row r="6" spans="2:11" ht="15.6" x14ac:dyDescent="0.3">
      <c r="B6" s="2"/>
      <c r="C6" s="2"/>
      <c r="D6" s="2"/>
      <c r="E6" s="2"/>
      <c r="F6" s="2"/>
      <c r="G6" s="2"/>
      <c r="H6" s="6"/>
      <c r="I6" s="6"/>
      <c r="J6" s="3"/>
      <c r="K6" s="4"/>
    </row>
    <row r="7" spans="2:11" ht="15.6" x14ac:dyDescent="0.3">
      <c r="B7" s="2" t="s">
        <v>40</v>
      </c>
      <c r="C7" s="2"/>
      <c r="D7" s="2"/>
      <c r="E7" s="18" t="s">
        <v>38</v>
      </c>
      <c r="F7" s="2"/>
      <c r="G7" s="18" t="s">
        <v>41</v>
      </c>
      <c r="H7" s="6"/>
      <c r="I7" s="151" t="str">
        <f>IF($G$8="Onder zwak","Nog "&amp;($B$11-$C$14)&amp;" meter tot Zwak",
IF($G$8="Zwak","Nog "&amp;($C$11-$C$14)&amp;" meter tot Redelijk",
IF($G$8="Redelijk","Nog "&amp;($D$11-$C$14)&amp;" meter tot Gemiddeld",
IF($G$8="Gemiddeld","Nog "&amp;($E$11-$C$14)&amp;" meter tot Goed",
IF($G$8="Goed","Nog "&amp;($F$11-$C$14)&amp;" meter tot Uitstekend",
IF($G$8="Uitstekend","Nog "&amp;($G$11-$C$14)&amp;" meter tot Topklasse",
"Topklasse bereikt"))))))</f>
        <v>Nog 153 meter tot Uitstekend</v>
      </c>
      <c r="J7" s="3"/>
      <c r="K7" s="4"/>
    </row>
    <row r="8" spans="2:11" ht="19.2" customHeight="1" x14ac:dyDescent="0.3">
      <c r="B8" s="72">
        <v>13</v>
      </c>
      <c r="C8" s="2"/>
      <c r="D8" s="2"/>
      <c r="E8" s="73" t="s">
        <v>73</v>
      </c>
      <c r="F8" s="30"/>
      <c r="G8" s="78" t="str">
        <f>IFERROR(INDEX($B$10:$G$10,1,MATCH($C$14,$B$11:$G$11,1)),"Onder zwak")</f>
        <v>Goed</v>
      </c>
      <c r="H8" s="50" t="s">
        <v>53</v>
      </c>
      <c r="I8" s="152"/>
      <c r="J8" s="30"/>
      <c r="K8" s="4"/>
    </row>
    <row r="9" spans="2:11" ht="19.2" customHeight="1" x14ac:dyDescent="0.3">
      <c r="B9" s="6"/>
      <c r="C9" s="6"/>
      <c r="D9" s="6"/>
      <c r="E9" s="6"/>
      <c r="F9" s="6"/>
      <c r="G9" s="6"/>
      <c r="H9" s="6"/>
      <c r="I9" s="6"/>
      <c r="J9" s="30"/>
      <c r="K9" s="4"/>
    </row>
    <row r="10" spans="2:11" ht="19.2" customHeight="1" x14ac:dyDescent="0.3">
      <c r="B10" s="77" t="s">
        <v>19</v>
      </c>
      <c r="C10" s="76" t="s">
        <v>20</v>
      </c>
      <c r="D10" s="56" t="s">
        <v>54</v>
      </c>
      <c r="E10" s="75" t="s">
        <v>21</v>
      </c>
      <c r="F10" s="49" t="s">
        <v>22</v>
      </c>
      <c r="G10" s="74" t="s">
        <v>23</v>
      </c>
      <c r="H10" s="30"/>
      <c r="I10" s="6"/>
      <c r="J10" s="30"/>
      <c r="K10" s="4"/>
    </row>
    <row r="11" spans="2:11" ht="19.2" customHeight="1" x14ac:dyDescent="0.3">
      <c r="B11" s="6" cm="1">
        <f t="array" ref="B11:G11">IF($E$8="Jongen",
_xlfn._xlws.FILTER('Coopertest tabel van 12-15 jaar'!$D$9:$I$12,($B$8&gt;='Coopertest tabel van 12-15 jaar'!$B$9:$B$12)*($B$8&lt;='Coopertest tabel van 12-15 jaar'!$C$9:$C$12)),
_xlfn._xlws.FILTER('Coopertest tabel van 12-15 jaar'!$D$18:$I$21,($B$8&gt;='Coopertest tabel van 12-15 jaar'!$B$18:$B$21)*($B$8&lt;='Coopertest tabel van 12-15 jaar'!$C$18:$C$21)))</f>
        <v>725</v>
      </c>
      <c r="C11" s="6">
        <v>957</v>
      </c>
      <c r="D11" s="6">
        <v>1189</v>
      </c>
      <c r="E11" s="6">
        <v>1400</v>
      </c>
      <c r="F11" s="6">
        <v>1628</v>
      </c>
      <c r="G11" s="6">
        <v>1887</v>
      </c>
      <c r="H11" s="6"/>
      <c r="I11" s="6"/>
      <c r="J11" s="30"/>
      <c r="K11" s="4"/>
    </row>
    <row r="12" spans="2:11" ht="18" customHeight="1" x14ac:dyDescent="0.3">
      <c r="B12" s="52" t="str">
        <f>IF($G$8=B$10,"▲","")</f>
        <v/>
      </c>
      <c r="C12" s="52" t="str">
        <f>IF($G$8=C$10,"▲","")</f>
        <v/>
      </c>
      <c r="D12" s="52" t="str">
        <f t="shared" ref="D12:G12" si="0">IF($G$8=D$10,"▲","")</f>
        <v/>
      </c>
      <c r="E12" s="52" t="str">
        <f t="shared" si="0"/>
        <v>▲</v>
      </c>
      <c r="F12" s="52" t="str">
        <f t="shared" si="0"/>
        <v/>
      </c>
      <c r="G12" s="52" t="str">
        <f t="shared" si="0"/>
        <v/>
      </c>
      <c r="H12" s="6"/>
      <c r="I12" s="6"/>
      <c r="J12" s="30"/>
      <c r="K12" s="4"/>
    </row>
    <row r="13" spans="2:11" ht="15.6" x14ac:dyDescent="0.3">
      <c r="B13" s="11"/>
      <c r="C13" s="11"/>
      <c r="D13" s="11"/>
      <c r="E13" s="11"/>
      <c r="F13" s="11"/>
      <c r="G13" s="11"/>
      <c r="H13" s="11"/>
      <c r="I13" s="11"/>
      <c r="J13" s="3"/>
    </row>
    <row r="14" spans="2:11" ht="15.6" x14ac:dyDescent="0.3">
      <c r="B14" s="40" t="s">
        <v>48</v>
      </c>
      <c r="C14" s="90">
        <v>1475</v>
      </c>
      <c r="D14" s="38"/>
      <c r="E14" s="39"/>
      <c r="F14" s="39"/>
      <c r="G14" s="40"/>
      <c r="H14" s="59" t="s">
        <v>71</v>
      </c>
      <c r="I14" s="41" t="s">
        <v>45</v>
      </c>
      <c r="J14" s="3"/>
    </row>
    <row r="15" spans="2:11" ht="15.6" x14ac:dyDescent="0.3">
      <c r="D15" s="38"/>
      <c r="E15" s="39"/>
      <c r="F15" s="39"/>
      <c r="G15" s="39"/>
      <c r="H15" s="52" t="s">
        <v>72</v>
      </c>
      <c r="I15" s="52" t="s">
        <v>57</v>
      </c>
      <c r="J15" s="3"/>
    </row>
    <row r="16" spans="2:11" ht="15.6" x14ac:dyDescent="0.3">
      <c r="D16" s="38"/>
      <c r="E16" s="39"/>
      <c r="F16" s="39"/>
      <c r="G16" s="39"/>
      <c r="I16" s="53" t="s">
        <v>58</v>
      </c>
      <c r="J16" s="3"/>
    </row>
    <row r="17" spans="2:11" ht="15.6" x14ac:dyDescent="0.3">
      <c r="B17" s="42" t="s">
        <v>46</v>
      </c>
      <c r="C17" s="43">
        <f>SUM(H30)</f>
        <v>49.717192041135704</v>
      </c>
      <c r="D17" s="38"/>
      <c r="E17" s="39"/>
      <c r="F17" s="39"/>
      <c r="G17" s="39"/>
      <c r="H17" s="58">
        <f>SUM(C14)</f>
        <v>1475</v>
      </c>
      <c r="I17" s="101">
        <f>SUM(H17*1.85)</f>
        <v>2728.75</v>
      </c>
      <c r="J17" s="3"/>
    </row>
    <row r="18" spans="2:11" ht="15.6" x14ac:dyDescent="0.3">
      <c r="D18" s="38"/>
      <c r="E18" s="39"/>
      <c r="F18" s="39"/>
      <c r="G18" s="39"/>
      <c r="H18" s="58"/>
      <c r="I18" s="101"/>
      <c r="J18" s="3"/>
    </row>
    <row r="19" spans="2:11" ht="15.6" x14ac:dyDescent="0.3">
      <c r="I19" s="38"/>
      <c r="J19" s="3"/>
    </row>
    <row r="20" spans="2:11" ht="5.4" customHeight="1" x14ac:dyDescent="0.3">
      <c r="B20" s="79"/>
      <c r="C20" s="80"/>
      <c r="D20" s="80"/>
      <c r="E20" s="79"/>
      <c r="F20" s="79"/>
      <c r="G20" s="79"/>
      <c r="H20" s="79"/>
      <c r="I20" s="80"/>
      <c r="J20" s="3"/>
    </row>
    <row r="25" spans="2:11" ht="21" x14ac:dyDescent="0.4">
      <c r="B25" s="60">
        <f>SUM(C14)</f>
        <v>1475</v>
      </c>
      <c r="C25" s="12" t="s">
        <v>1</v>
      </c>
      <c r="D25" s="5"/>
      <c r="E25" s="81">
        <f>SUM(B25*10/1000)</f>
        <v>14.75</v>
      </c>
      <c r="F25" s="82" t="s">
        <v>2</v>
      </c>
      <c r="G25" s="17"/>
      <c r="H25" s="63">
        <f>SUM(G2/E25)</f>
        <v>2.8248587570621469E-3</v>
      </c>
      <c r="I25" s="15" t="s">
        <v>3</v>
      </c>
      <c r="J25" s="7"/>
    </row>
    <row r="26" spans="2:11" ht="15.6" x14ac:dyDescent="0.3">
      <c r="B26" s="16"/>
      <c r="C26" s="11"/>
      <c r="D26" s="5"/>
      <c r="E26" s="16"/>
      <c r="F26" s="17"/>
      <c r="G26" s="17"/>
      <c r="H26" s="18"/>
      <c r="I26" s="18"/>
      <c r="J26" s="7"/>
    </row>
    <row r="27" spans="2:11" ht="15.6" x14ac:dyDescent="0.3">
      <c r="B27" s="25" t="s">
        <v>13</v>
      </c>
      <c r="C27" s="20"/>
      <c r="D27" s="89">
        <f>(6*(1500/C14)^1.06)/1440</f>
        <v>4.2415632870023241E-3</v>
      </c>
      <c r="F27" s="66">
        <f>SUM(G2/G3)</f>
        <v>14.735133197593086</v>
      </c>
      <c r="G27" s="18"/>
      <c r="H27" s="19" t="s">
        <v>76</v>
      </c>
      <c r="I27" s="68">
        <f>SUM(G3)</f>
        <v>2.8277088580015495E-3</v>
      </c>
    </row>
    <row r="28" spans="2:11" ht="15.6" x14ac:dyDescent="0.3">
      <c r="B28" s="13" t="s">
        <v>75</v>
      </c>
      <c r="C28" s="12"/>
      <c r="D28" s="89">
        <f>(6*(1000/C14)^1.06)/1440</f>
        <v>2.7597466622072894E-3</v>
      </c>
      <c r="F28" s="65">
        <f>SUM(G2/D28)</f>
        <v>15.098004189029799</v>
      </c>
      <c r="G28" s="64"/>
      <c r="H28" s="65" t="s">
        <v>77</v>
      </c>
      <c r="I28" s="67">
        <f>SUM(D28)</f>
        <v>2.7597466622072894E-3</v>
      </c>
      <c r="J28" s="7"/>
      <c r="K28" s="62"/>
    </row>
    <row r="29" spans="2:11" ht="15.6" x14ac:dyDescent="0.3">
      <c r="B29" s="27"/>
      <c r="C29" s="18"/>
      <c r="D29" s="5"/>
      <c r="E29" s="61"/>
      <c r="F29" s="17"/>
      <c r="I29" s="18"/>
      <c r="J29" s="7"/>
    </row>
    <row r="30" spans="2:11" ht="15.6" x14ac:dyDescent="0.3">
      <c r="C30" s="18"/>
      <c r="D30" s="5"/>
      <c r="G30" s="42" t="s">
        <v>46</v>
      </c>
      <c r="H30" s="44">
        <f>SUM(I17-504.9)/44.73</f>
        <v>49.717192041135704</v>
      </c>
      <c r="I30" s="11" t="s">
        <v>47</v>
      </c>
      <c r="J30" s="7"/>
    </row>
    <row r="31" spans="2:11" ht="15.6" x14ac:dyDescent="0.3">
      <c r="B31" s="27"/>
      <c r="C31" s="18"/>
      <c r="D31" s="5"/>
      <c r="I31" s="18"/>
      <c r="J31" s="7"/>
    </row>
    <row r="32" spans="2:11" ht="15.6" x14ac:dyDescent="0.3">
      <c r="C32" s="18"/>
      <c r="D32" s="5"/>
      <c r="I32" s="18"/>
      <c r="J32" s="7"/>
    </row>
    <row r="33" spans="2:10" ht="21" x14ac:dyDescent="0.4">
      <c r="B33" s="178" t="s">
        <v>89</v>
      </c>
      <c r="C33" s="142"/>
      <c r="D33" s="5"/>
      <c r="E33" s="142" t="s">
        <v>90</v>
      </c>
      <c r="F33" s="142"/>
      <c r="G33" s="142"/>
      <c r="I33" s="18"/>
      <c r="J33" s="7"/>
    </row>
    <row r="34" spans="2:10" ht="18" x14ac:dyDescent="0.3">
      <c r="B34" s="120">
        <v>3.472222222222222E-3</v>
      </c>
      <c r="C34" s="18"/>
      <c r="D34" s="5"/>
      <c r="E34" s="122">
        <f>SUM(G2/B34)/10*1000</f>
        <v>1200</v>
      </c>
      <c r="F34" s="118" t="s">
        <v>86</v>
      </c>
      <c r="G34" s="5"/>
      <c r="I34" s="18"/>
      <c r="J34" s="7"/>
    </row>
    <row r="35" spans="2:10" ht="15.6" x14ac:dyDescent="0.3">
      <c r="B35" s="27"/>
      <c r="C35" s="18"/>
      <c r="D35" s="5"/>
      <c r="I35" s="18"/>
      <c r="J35" s="7"/>
    </row>
    <row r="37" spans="2:10" x14ac:dyDescent="0.3">
      <c r="B37" s="5" t="s">
        <v>49</v>
      </c>
      <c r="C37" s="46"/>
      <c r="D37" s="5"/>
      <c r="E37" s="142" t="s">
        <v>50</v>
      </c>
      <c r="F37" s="142"/>
      <c r="G37" s="142"/>
    </row>
    <row r="38" spans="2:10" x14ac:dyDescent="0.3">
      <c r="B38" s="5"/>
      <c r="C38" s="47"/>
      <c r="D38" s="5"/>
      <c r="E38" s="142" t="s">
        <v>51</v>
      </c>
      <c r="F38" s="142"/>
      <c r="G38" s="5"/>
    </row>
    <row r="39" spans="2:10" x14ac:dyDescent="0.3">
      <c r="B39" s="5"/>
      <c r="C39" s="48"/>
      <c r="D39" s="5"/>
      <c r="E39" s="142" t="s">
        <v>52</v>
      </c>
      <c r="F39" s="142"/>
      <c r="G39" s="142"/>
    </row>
    <row r="40" spans="2:10" x14ac:dyDescent="0.3">
      <c r="C40" s="71"/>
      <c r="E40" t="s">
        <v>84</v>
      </c>
    </row>
    <row r="43" spans="2:10" x14ac:dyDescent="0.3">
      <c r="B43" s="141"/>
      <c r="C43" s="141"/>
      <c r="D43" s="141"/>
      <c r="E43" s="141"/>
      <c r="F43" s="141"/>
      <c r="G43" s="141"/>
      <c r="H43" s="141"/>
      <c r="I43" s="141"/>
    </row>
    <row r="44" spans="2:10" x14ac:dyDescent="0.3">
      <c r="B44" s="143" t="s">
        <v>159</v>
      </c>
      <c r="C44" s="141"/>
      <c r="D44" s="141"/>
      <c r="E44" s="141"/>
      <c r="F44" s="141"/>
      <c r="G44" s="141"/>
      <c r="H44" s="141"/>
      <c r="I44" s="141"/>
    </row>
    <row r="45" spans="2:10" x14ac:dyDescent="0.3">
      <c r="B45" s="143" t="s">
        <v>160</v>
      </c>
      <c r="C45" s="141"/>
      <c r="D45" s="141"/>
      <c r="E45" s="141"/>
      <c r="F45" s="141"/>
      <c r="G45" s="141"/>
      <c r="H45" s="141"/>
      <c r="I45" s="141"/>
    </row>
    <row r="46" spans="2:10" x14ac:dyDescent="0.3">
      <c r="B46" s="143" t="s">
        <v>161</v>
      </c>
      <c r="C46" s="142"/>
      <c r="D46" s="142"/>
      <c r="E46" s="142"/>
      <c r="F46" s="142"/>
      <c r="G46" s="142"/>
      <c r="H46" s="142"/>
      <c r="I46" s="142"/>
    </row>
    <row r="47" spans="2:10" x14ac:dyDescent="0.3">
      <c r="B47" s="143" t="s">
        <v>162</v>
      </c>
      <c r="C47" s="142"/>
      <c r="D47" s="142"/>
      <c r="E47" s="142"/>
      <c r="F47" s="142"/>
      <c r="G47" s="142"/>
      <c r="H47" s="142"/>
      <c r="I47" s="142"/>
    </row>
    <row r="48" spans="2:10" x14ac:dyDescent="0.3">
      <c r="B48" s="143" t="s">
        <v>163</v>
      </c>
      <c r="C48" s="142"/>
      <c r="D48" s="142"/>
      <c r="E48" s="142"/>
      <c r="F48" s="142"/>
      <c r="G48" s="142"/>
      <c r="H48" s="142"/>
      <c r="I48" s="142"/>
    </row>
    <row r="49" spans="2:9" x14ac:dyDescent="0.3">
      <c r="B49" s="143" t="s">
        <v>164</v>
      </c>
      <c r="C49" s="142"/>
      <c r="D49" s="142"/>
      <c r="E49" s="142"/>
      <c r="F49" s="142"/>
      <c r="G49" s="142"/>
      <c r="H49" s="142"/>
      <c r="I49" s="142"/>
    </row>
    <row r="50" spans="2:9" x14ac:dyDescent="0.3">
      <c r="B50" s="141"/>
      <c r="C50" s="142"/>
      <c r="D50" s="142"/>
      <c r="E50" s="142"/>
      <c r="F50" s="142"/>
      <c r="G50" s="142"/>
      <c r="H50" s="142"/>
      <c r="I50" s="142"/>
    </row>
    <row r="53" spans="2:9" x14ac:dyDescent="0.3">
      <c r="B53" s="173"/>
      <c r="C53" s="142"/>
      <c r="D53" s="142"/>
      <c r="E53" s="142"/>
      <c r="F53" s="142"/>
      <c r="G53" s="142"/>
      <c r="H53" s="142"/>
      <c r="I53" s="142"/>
    </row>
    <row r="54" spans="2:9" x14ac:dyDescent="0.3">
      <c r="B54" s="174" t="s">
        <v>165</v>
      </c>
      <c r="C54" s="142"/>
      <c r="D54" s="142"/>
      <c r="E54" s="142"/>
      <c r="F54" s="142"/>
      <c r="G54" s="142"/>
      <c r="H54" s="142"/>
      <c r="I54" s="142"/>
    </row>
    <row r="55" spans="2:9" x14ac:dyDescent="0.3">
      <c r="B55" s="175" t="s">
        <v>166</v>
      </c>
      <c r="C55" s="173"/>
      <c r="D55" s="173"/>
      <c r="E55" s="173"/>
      <c r="F55" s="173"/>
      <c r="G55" s="173"/>
      <c r="H55" s="173"/>
      <c r="I55" s="173"/>
    </row>
    <row r="56" spans="2:9" x14ac:dyDescent="0.3">
      <c r="B56" s="175" t="s">
        <v>167</v>
      </c>
      <c r="C56" s="173"/>
      <c r="D56" s="173"/>
      <c r="E56" s="173"/>
      <c r="F56" s="173"/>
      <c r="G56" s="173"/>
      <c r="H56" s="173"/>
      <c r="I56" s="173"/>
    </row>
    <row r="57" spans="2:9" x14ac:dyDescent="0.3">
      <c r="B57" s="175" t="s">
        <v>168</v>
      </c>
      <c r="C57" s="173"/>
      <c r="D57" s="173"/>
      <c r="E57" s="173"/>
      <c r="F57" s="173"/>
      <c r="G57" s="173"/>
      <c r="H57" s="173"/>
      <c r="I57" s="173"/>
    </row>
    <row r="58" spans="2:9" x14ac:dyDescent="0.3">
      <c r="B58" s="175" t="s">
        <v>169</v>
      </c>
      <c r="C58" s="173"/>
      <c r="D58" s="173"/>
      <c r="E58" s="173"/>
      <c r="F58" s="173"/>
      <c r="G58" s="173"/>
      <c r="H58" s="173"/>
      <c r="I58" s="173"/>
    </row>
    <row r="59" spans="2:9" x14ac:dyDescent="0.3">
      <c r="B59" s="173" t="s">
        <v>170</v>
      </c>
      <c r="C59" s="173"/>
      <c r="D59" s="173"/>
      <c r="E59" s="173"/>
      <c r="F59" s="173"/>
      <c r="G59" s="173"/>
      <c r="H59" s="173"/>
      <c r="I59" s="173"/>
    </row>
    <row r="60" spans="2:9" x14ac:dyDescent="0.3">
      <c r="B60" s="173" t="s">
        <v>171</v>
      </c>
      <c r="C60" s="173"/>
      <c r="D60" s="173"/>
      <c r="E60" s="173"/>
      <c r="F60" s="173"/>
      <c r="G60" s="173"/>
      <c r="H60" s="173"/>
      <c r="I60" s="173"/>
    </row>
    <row r="61" spans="2:9" x14ac:dyDescent="0.3">
      <c r="B61" s="173"/>
      <c r="C61" s="173"/>
      <c r="D61" s="173"/>
      <c r="E61" s="173"/>
      <c r="F61" s="173"/>
      <c r="G61" s="173"/>
      <c r="H61" s="173"/>
      <c r="I61" s="173"/>
    </row>
  </sheetData>
  <sheetProtection algorithmName="SHA-512" hashValue="d/Pu4+u0nDQdQw3tOFMDsO9jnPrn9q+ce528ApbIYLKZTT/73CdGl2ZMnvk1puWxugge8mwucfxPR7ShdnDGfg==" saltValue="gBQJziBACXj76Jh3gFRWYg==" spinCount="100000" sheet="1" objects="1" scenarios="1"/>
  <mergeCells count="25">
    <mergeCell ref="E37:G37"/>
    <mergeCell ref="E38:F38"/>
    <mergeCell ref="E39:G39"/>
    <mergeCell ref="B1:G1"/>
    <mergeCell ref="I7:I8"/>
    <mergeCell ref="B33:C33"/>
    <mergeCell ref="B5:D5"/>
    <mergeCell ref="E33:G33"/>
    <mergeCell ref="B49:I49"/>
    <mergeCell ref="B43:I43"/>
    <mergeCell ref="B46:I46"/>
    <mergeCell ref="B47:I47"/>
    <mergeCell ref="B48:I48"/>
    <mergeCell ref="B44:I44"/>
    <mergeCell ref="B45:I45"/>
    <mergeCell ref="B50:I50"/>
    <mergeCell ref="B55:I55"/>
    <mergeCell ref="B56:I56"/>
    <mergeCell ref="B57:I57"/>
    <mergeCell ref="B58:I58"/>
    <mergeCell ref="B59:I59"/>
    <mergeCell ref="B60:I60"/>
    <mergeCell ref="B61:I61"/>
    <mergeCell ref="B54:I54"/>
    <mergeCell ref="B53:I53"/>
  </mergeCells>
  <dataValidations count="1">
    <dataValidation errorStyle="information" allowBlank="1" promptTitle="Ongeldige invoer" prompt="Vul een getal in tussen de 800 en 4700" sqref="B25" xr:uid="{7247E26D-3ED7-47B2-82CA-4FC32285022F}"/>
  </dataValidations>
  <pageMargins left="0.7" right="0.7" top="0.75" bottom="0.75" header="0.3" footer="0.3"/>
  <pageSetup paperSize="9" orientation="portrait" horizontalDpi="0" verticalDpi="0" r:id="rId1"/>
  <ignoredErrors>
    <ignoredError sqref="H17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C8862B3-00F5-4901-904B-8C3DAAD1D740}">
          <x14:formula1>
            <xm:f>Normen!$D$1:$D$4</xm:f>
          </x14:formula1>
          <xm:sqref>B8</xm:sqref>
        </x14:dataValidation>
        <x14:dataValidation type="list" allowBlank="1" showInputMessage="1" showErrorMessage="1" xr:uid="{83F5044F-639B-4B29-B53A-6D294295686A}">
          <x14:formula1>
            <xm:f>Normen!$E$3:$E$4</xm:f>
          </x14:formula1>
          <xm:sqref>E8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3E2DD-CCDC-406A-A265-BD4FF642154C}">
  <sheetPr codeName="Blad2">
    <tabColor theme="9" tint="0.39997558519241921"/>
  </sheetPr>
  <dimension ref="B2:J59"/>
  <sheetViews>
    <sheetView workbookViewId="0">
      <selection activeCell="K17" sqref="K17"/>
    </sheetView>
  </sheetViews>
  <sheetFormatPr defaultRowHeight="14.4" x14ac:dyDescent="0.3"/>
  <cols>
    <col min="1" max="1" width="4.5546875" style="5" customWidth="1"/>
    <col min="2" max="2" width="13.5546875" style="5" customWidth="1"/>
    <col min="3" max="3" width="13.109375" style="5" customWidth="1"/>
    <col min="4" max="4" width="11.5546875" style="5" customWidth="1"/>
    <col min="5" max="5" width="11.33203125" style="5" customWidth="1"/>
    <col min="6" max="6" width="10.5546875" style="5" customWidth="1"/>
    <col min="7" max="7" width="12" style="5" customWidth="1"/>
    <col min="8" max="8" width="12.6640625" style="5" customWidth="1"/>
    <col min="9" max="9" width="13" style="5" customWidth="1"/>
    <col min="10" max="10" width="11.77734375" style="5" customWidth="1"/>
    <col min="11" max="16384" width="8.88671875" style="5"/>
  </cols>
  <sheetData>
    <row r="2" spans="2:10" x14ac:dyDescent="0.3">
      <c r="B2" s="186" t="s">
        <v>183</v>
      </c>
      <c r="C2" s="187"/>
      <c r="D2" s="187"/>
      <c r="E2" s="187"/>
      <c r="F2" s="187"/>
      <c r="G2" s="187"/>
      <c r="H2" s="187"/>
      <c r="I2" s="188"/>
    </row>
    <row r="3" spans="2:10" ht="16.8" customHeight="1" x14ac:dyDescent="0.3">
      <c r="B3" s="179" t="s">
        <v>184</v>
      </c>
      <c r="C3" s="180"/>
      <c r="D3" s="180"/>
      <c r="E3" s="180"/>
      <c r="F3" s="180"/>
      <c r="G3" s="180"/>
      <c r="H3" s="180"/>
      <c r="I3" s="181"/>
    </row>
    <row r="4" spans="2:10" ht="16.8" customHeight="1" x14ac:dyDescent="0.3">
      <c r="B4" s="185" t="s">
        <v>185</v>
      </c>
      <c r="C4" s="183"/>
      <c r="D4" s="183"/>
      <c r="E4" s="183"/>
      <c r="F4" s="183"/>
      <c r="G4" s="183"/>
      <c r="H4" s="183"/>
      <c r="I4" s="184"/>
    </row>
    <row r="5" spans="2:10" ht="16.8" customHeight="1" x14ac:dyDescent="0.3"/>
    <row r="6" spans="2:10" ht="13.8" customHeight="1" x14ac:dyDescent="0.3">
      <c r="B6" s="190" t="s">
        <v>17</v>
      </c>
      <c r="C6" s="191"/>
    </row>
    <row r="7" spans="2:10" ht="13.8" customHeight="1" x14ac:dyDescent="0.3"/>
    <row r="8" spans="2:10" ht="13.8" customHeight="1" x14ac:dyDescent="0.3">
      <c r="B8" s="55" t="s">
        <v>55</v>
      </c>
      <c r="C8" s="70" t="s">
        <v>56</v>
      </c>
      <c r="D8" s="56" t="s">
        <v>19</v>
      </c>
      <c r="E8" s="56" t="s">
        <v>20</v>
      </c>
      <c r="F8" s="56" t="s">
        <v>54</v>
      </c>
      <c r="G8" s="56" t="s">
        <v>21</v>
      </c>
      <c r="H8" s="56" t="s">
        <v>22</v>
      </c>
      <c r="I8" s="56" t="s">
        <v>23</v>
      </c>
      <c r="J8" s="30"/>
    </row>
    <row r="9" spans="2:10" ht="13.8" customHeight="1" x14ac:dyDescent="0.3">
      <c r="B9" s="54">
        <v>16</v>
      </c>
      <c r="C9" s="135">
        <v>19</v>
      </c>
      <c r="D9" s="124">
        <v>2000</v>
      </c>
      <c r="E9" s="124">
        <v>2400</v>
      </c>
      <c r="F9" s="124">
        <v>2800</v>
      </c>
      <c r="G9" s="124">
        <v>3152</v>
      </c>
      <c r="H9" s="124">
        <v>3546</v>
      </c>
      <c r="I9" s="124">
        <v>4000</v>
      </c>
    </row>
    <row r="10" spans="2:10" ht="13.8" customHeight="1" x14ac:dyDescent="0.3">
      <c r="B10" s="51">
        <v>20</v>
      </c>
      <c r="C10" s="136">
        <v>24</v>
      </c>
      <c r="D10" s="137">
        <v>2200</v>
      </c>
      <c r="E10" s="137">
        <v>2580</v>
      </c>
      <c r="F10" s="137">
        <v>2960</v>
      </c>
      <c r="G10" s="137">
        <v>3289</v>
      </c>
      <c r="H10" s="137">
        <v>3664</v>
      </c>
      <c r="I10" s="137">
        <v>4100</v>
      </c>
    </row>
    <row r="11" spans="2:10" ht="13.8" customHeight="1" x14ac:dyDescent="0.3">
      <c r="B11" s="51">
        <v>25</v>
      </c>
      <c r="C11" s="136">
        <v>29</v>
      </c>
      <c r="D11" s="137">
        <v>2200</v>
      </c>
      <c r="E11" s="137">
        <v>2580</v>
      </c>
      <c r="F11" s="137">
        <v>2960</v>
      </c>
      <c r="G11" s="137">
        <v>3289</v>
      </c>
      <c r="H11" s="137">
        <v>3664</v>
      </c>
      <c r="I11" s="137">
        <v>4100</v>
      </c>
    </row>
    <row r="12" spans="2:10" ht="13.8" customHeight="1" x14ac:dyDescent="0.3">
      <c r="B12" s="51">
        <v>30</v>
      </c>
      <c r="C12" s="136">
        <v>34</v>
      </c>
      <c r="D12" s="137">
        <v>2150</v>
      </c>
      <c r="E12" s="137">
        <v>2540</v>
      </c>
      <c r="F12" s="137">
        <v>2930</v>
      </c>
      <c r="G12" s="137">
        <v>3270</v>
      </c>
      <c r="H12" s="137">
        <v>3654</v>
      </c>
      <c r="I12" s="137">
        <v>4100</v>
      </c>
    </row>
    <row r="13" spans="2:10" ht="13.8" customHeight="1" x14ac:dyDescent="0.3">
      <c r="B13" s="51">
        <v>35</v>
      </c>
      <c r="C13" s="136">
        <v>39</v>
      </c>
      <c r="D13" s="137">
        <v>2100</v>
      </c>
      <c r="E13" s="137">
        <v>2480</v>
      </c>
      <c r="F13" s="137">
        <v>2860</v>
      </c>
      <c r="G13" s="137">
        <v>3191</v>
      </c>
      <c r="H13" s="137">
        <v>3565</v>
      </c>
      <c r="I13" s="137">
        <v>4000</v>
      </c>
    </row>
    <row r="14" spans="2:10" ht="13.8" customHeight="1" x14ac:dyDescent="0.3">
      <c r="B14" s="54">
        <v>40</v>
      </c>
      <c r="C14" s="135">
        <v>44</v>
      </c>
      <c r="D14" s="124">
        <v>2000</v>
      </c>
      <c r="E14" s="124">
        <v>2370</v>
      </c>
      <c r="F14" s="124">
        <v>2740</v>
      </c>
      <c r="G14" s="124">
        <v>3063</v>
      </c>
      <c r="H14" s="124">
        <v>3427</v>
      </c>
      <c r="I14" s="124">
        <v>3850</v>
      </c>
    </row>
    <row r="15" spans="2:10" ht="13.8" customHeight="1" x14ac:dyDescent="0.3">
      <c r="B15" s="54">
        <v>45</v>
      </c>
      <c r="C15" s="135">
        <v>49</v>
      </c>
      <c r="D15" s="124">
        <v>1900</v>
      </c>
      <c r="E15" s="124">
        <v>2260</v>
      </c>
      <c r="F15" s="124">
        <v>2620</v>
      </c>
      <c r="G15" s="124">
        <v>2935</v>
      </c>
      <c r="H15" s="124">
        <v>3290</v>
      </c>
      <c r="I15" s="124">
        <v>3700</v>
      </c>
    </row>
    <row r="16" spans="2:10" ht="13.8" customHeight="1" x14ac:dyDescent="0.3">
      <c r="B16" s="54">
        <v>50</v>
      </c>
      <c r="C16" s="135">
        <v>54</v>
      </c>
      <c r="D16" s="124">
        <v>1800</v>
      </c>
      <c r="E16" s="124">
        <v>2160</v>
      </c>
      <c r="F16" s="124">
        <v>2520</v>
      </c>
      <c r="G16" s="124">
        <v>2836</v>
      </c>
      <c r="H16" s="124">
        <v>3191</v>
      </c>
      <c r="I16" s="124">
        <v>3600</v>
      </c>
    </row>
    <row r="17" spans="2:9" ht="13.8" customHeight="1" x14ac:dyDescent="0.3">
      <c r="B17" s="51">
        <v>55</v>
      </c>
      <c r="C17" s="136">
        <v>59</v>
      </c>
      <c r="D17" s="137">
        <v>1700</v>
      </c>
      <c r="E17" s="137">
        <v>2060</v>
      </c>
      <c r="F17" s="137">
        <v>2420</v>
      </c>
      <c r="G17" s="137">
        <v>2738</v>
      </c>
      <c r="H17" s="137">
        <v>3093</v>
      </c>
      <c r="I17" s="137">
        <v>3500</v>
      </c>
    </row>
    <row r="18" spans="2:9" ht="13.8" customHeight="1" x14ac:dyDescent="0.3">
      <c r="B18" s="51">
        <v>60</v>
      </c>
      <c r="C18" s="136">
        <v>64</v>
      </c>
      <c r="D18" s="137">
        <v>1600</v>
      </c>
      <c r="E18" s="137">
        <v>1950</v>
      </c>
      <c r="F18" s="137">
        <v>2300</v>
      </c>
      <c r="G18" s="137">
        <v>2610</v>
      </c>
      <c r="H18" s="137">
        <v>2955</v>
      </c>
      <c r="I18" s="137">
        <v>3350</v>
      </c>
    </row>
    <row r="19" spans="2:9" ht="13.8" customHeight="1" x14ac:dyDescent="0.3">
      <c r="B19" s="51">
        <v>65</v>
      </c>
      <c r="C19" s="136">
        <v>69</v>
      </c>
      <c r="D19" s="137">
        <v>1500</v>
      </c>
      <c r="E19" s="137">
        <v>1840</v>
      </c>
      <c r="F19" s="137">
        <v>2180</v>
      </c>
      <c r="G19" s="137">
        <v>2482</v>
      </c>
      <c r="H19" s="137">
        <v>2817</v>
      </c>
      <c r="I19" s="137">
        <v>3200</v>
      </c>
    </row>
    <row r="20" spans="2:9" ht="13.8" customHeight="1" x14ac:dyDescent="0.3">
      <c r="B20" s="54">
        <v>70</v>
      </c>
      <c r="C20" s="135">
        <v>74</v>
      </c>
      <c r="D20" s="124">
        <v>1400</v>
      </c>
      <c r="E20" s="124">
        <v>1730</v>
      </c>
      <c r="F20" s="124">
        <v>2060</v>
      </c>
      <c r="G20" s="124">
        <v>2354</v>
      </c>
      <c r="H20" s="124">
        <v>2679</v>
      </c>
      <c r="I20" s="124">
        <v>3050</v>
      </c>
    </row>
    <row r="21" spans="2:9" ht="13.8" customHeight="1" x14ac:dyDescent="0.3">
      <c r="B21" s="54">
        <v>75</v>
      </c>
      <c r="C21" s="135">
        <v>79</v>
      </c>
      <c r="D21" s="124">
        <v>1300</v>
      </c>
      <c r="E21" s="124">
        <v>1595</v>
      </c>
      <c r="F21" s="124">
        <v>1890</v>
      </c>
      <c r="G21" s="124">
        <v>2152</v>
      </c>
      <c r="H21" s="124">
        <v>2442</v>
      </c>
      <c r="I21" s="124">
        <v>2775</v>
      </c>
    </row>
    <row r="22" spans="2:9" ht="13.8" customHeight="1" x14ac:dyDescent="0.3">
      <c r="B22" s="54">
        <v>80</v>
      </c>
      <c r="C22" s="135">
        <v>84</v>
      </c>
      <c r="D22" s="124">
        <v>1200</v>
      </c>
      <c r="E22" s="124">
        <v>1445</v>
      </c>
      <c r="F22" s="124">
        <v>1690</v>
      </c>
      <c r="G22" s="124">
        <v>1905</v>
      </c>
      <c r="H22" s="124">
        <v>2147</v>
      </c>
      <c r="I22" s="124">
        <v>2425</v>
      </c>
    </row>
    <row r="23" spans="2:9" ht="13.8" customHeight="1" x14ac:dyDescent="0.3">
      <c r="B23" s="51">
        <v>85</v>
      </c>
      <c r="C23" s="136">
        <v>89</v>
      </c>
      <c r="D23" s="137">
        <v>1100</v>
      </c>
      <c r="E23" s="137">
        <v>1285</v>
      </c>
      <c r="F23" s="137">
        <v>1470</v>
      </c>
      <c r="G23" s="137">
        <v>1630</v>
      </c>
      <c r="H23" s="137">
        <v>1812</v>
      </c>
      <c r="I23" s="137">
        <v>2025</v>
      </c>
    </row>
    <row r="24" spans="2:9" ht="13.8" customHeight="1" x14ac:dyDescent="0.3">
      <c r="B24" s="51">
        <v>90</v>
      </c>
      <c r="C24" s="99">
        <v>999</v>
      </c>
      <c r="D24" s="137">
        <v>1000</v>
      </c>
      <c r="E24" s="137">
        <v>1160</v>
      </c>
      <c r="F24" s="137">
        <v>1320</v>
      </c>
      <c r="G24" s="137">
        <v>1457</v>
      </c>
      <c r="H24" s="137">
        <v>1615</v>
      </c>
      <c r="I24" s="137">
        <v>1800</v>
      </c>
    </row>
    <row r="25" spans="2:9" ht="13.8" customHeight="1" x14ac:dyDescent="0.3"/>
    <row r="26" spans="2:9" ht="13.8" customHeight="1" x14ac:dyDescent="0.3"/>
    <row r="27" spans="2:9" ht="13.8" customHeight="1" x14ac:dyDescent="0.3">
      <c r="B27" s="190" t="s">
        <v>24</v>
      </c>
      <c r="C27" s="191"/>
    </row>
    <row r="28" spans="2:9" ht="13.8" customHeight="1" x14ac:dyDescent="0.3"/>
    <row r="29" spans="2:9" ht="13.8" customHeight="1" x14ac:dyDescent="0.3">
      <c r="B29" s="55" t="s">
        <v>55</v>
      </c>
      <c r="C29" s="70" t="s">
        <v>56</v>
      </c>
      <c r="D29" s="56" t="s">
        <v>19</v>
      </c>
      <c r="E29" s="56" t="s">
        <v>20</v>
      </c>
      <c r="F29" s="56" t="s">
        <v>54</v>
      </c>
      <c r="G29" s="56" t="s">
        <v>21</v>
      </c>
      <c r="H29" s="56" t="s">
        <v>22</v>
      </c>
      <c r="I29" s="56" t="s">
        <v>23</v>
      </c>
    </row>
    <row r="30" spans="2:9" ht="13.8" customHeight="1" x14ac:dyDescent="0.3">
      <c r="B30" s="54">
        <v>16</v>
      </c>
      <c r="C30" s="135">
        <v>19</v>
      </c>
      <c r="D30" s="124">
        <v>1800</v>
      </c>
      <c r="E30" s="124">
        <v>2165</v>
      </c>
      <c r="F30" s="124">
        <v>2530</v>
      </c>
      <c r="G30" s="124">
        <v>2851</v>
      </c>
      <c r="H30" s="124">
        <v>3211</v>
      </c>
      <c r="I30" s="124">
        <v>3625</v>
      </c>
    </row>
    <row r="31" spans="2:9" ht="13.8" customHeight="1" x14ac:dyDescent="0.3">
      <c r="B31" s="51">
        <v>20</v>
      </c>
      <c r="C31" s="136">
        <v>24</v>
      </c>
      <c r="D31" s="137">
        <v>1900</v>
      </c>
      <c r="E31" s="137">
        <v>2265</v>
      </c>
      <c r="F31" s="137">
        <v>2630</v>
      </c>
      <c r="G31" s="137">
        <v>2950</v>
      </c>
      <c r="H31" s="137">
        <v>3309</v>
      </c>
      <c r="I31" s="137">
        <v>3725</v>
      </c>
    </row>
    <row r="32" spans="2:9" ht="13.8" customHeight="1" x14ac:dyDescent="0.3">
      <c r="B32" s="51">
        <v>25</v>
      </c>
      <c r="C32" s="136">
        <v>29</v>
      </c>
      <c r="D32" s="137">
        <v>1900</v>
      </c>
      <c r="E32" s="137">
        <v>2265</v>
      </c>
      <c r="F32" s="137">
        <v>2630</v>
      </c>
      <c r="G32" s="137">
        <v>2950</v>
      </c>
      <c r="H32" s="137">
        <v>3309</v>
      </c>
      <c r="I32" s="137">
        <v>3725</v>
      </c>
    </row>
    <row r="33" spans="2:9" ht="13.8" customHeight="1" x14ac:dyDescent="0.3">
      <c r="B33" s="51">
        <v>30</v>
      </c>
      <c r="C33" s="136">
        <v>34</v>
      </c>
      <c r="D33" s="137">
        <v>1850</v>
      </c>
      <c r="E33" s="137">
        <v>2225</v>
      </c>
      <c r="F33" s="137">
        <v>2600</v>
      </c>
      <c r="G33" s="137">
        <v>2930</v>
      </c>
      <c r="H33" s="137">
        <v>3299</v>
      </c>
      <c r="I33" s="137">
        <v>3725</v>
      </c>
    </row>
    <row r="34" spans="2:9" ht="13.8" customHeight="1" x14ac:dyDescent="0.3">
      <c r="B34" s="51">
        <v>35</v>
      </c>
      <c r="C34" s="136">
        <v>39</v>
      </c>
      <c r="D34" s="137">
        <v>1800</v>
      </c>
      <c r="E34" s="137">
        <v>2140</v>
      </c>
      <c r="F34" s="137">
        <v>2480</v>
      </c>
      <c r="G34" s="137">
        <v>2777</v>
      </c>
      <c r="H34" s="137">
        <v>3112</v>
      </c>
      <c r="I34" s="137">
        <v>3500</v>
      </c>
    </row>
    <row r="35" spans="2:9" ht="13.8" customHeight="1" x14ac:dyDescent="0.3">
      <c r="B35" s="54">
        <v>40</v>
      </c>
      <c r="C35" s="135">
        <v>44</v>
      </c>
      <c r="D35" s="124">
        <v>1750</v>
      </c>
      <c r="E35" s="124">
        <v>2080</v>
      </c>
      <c r="F35" s="124">
        <v>2410</v>
      </c>
      <c r="G35" s="124">
        <v>2699</v>
      </c>
      <c r="H35" s="124">
        <v>3024</v>
      </c>
      <c r="I35" s="124">
        <v>3400</v>
      </c>
    </row>
    <row r="36" spans="2:9" ht="13.8" customHeight="1" x14ac:dyDescent="0.3">
      <c r="B36" s="54">
        <v>45</v>
      </c>
      <c r="C36" s="135">
        <v>49</v>
      </c>
      <c r="D36" s="124">
        <v>1700</v>
      </c>
      <c r="E36" s="124">
        <v>2000</v>
      </c>
      <c r="F36" s="124">
        <v>2300</v>
      </c>
      <c r="G36" s="124">
        <v>2561</v>
      </c>
      <c r="H36" s="124">
        <v>2857</v>
      </c>
      <c r="I36" s="124">
        <v>3200</v>
      </c>
    </row>
    <row r="37" spans="2:9" ht="13.8" customHeight="1" x14ac:dyDescent="0.3">
      <c r="B37" s="54">
        <v>50</v>
      </c>
      <c r="C37" s="135">
        <v>54</v>
      </c>
      <c r="D37" s="124">
        <v>1600</v>
      </c>
      <c r="E37" s="124">
        <v>1905</v>
      </c>
      <c r="F37" s="124">
        <v>2210</v>
      </c>
      <c r="G37" s="124">
        <v>2477</v>
      </c>
      <c r="H37" s="124">
        <v>2778</v>
      </c>
      <c r="I37" s="124">
        <v>3125</v>
      </c>
    </row>
    <row r="38" spans="2:9" ht="13.8" customHeight="1" x14ac:dyDescent="0.3">
      <c r="B38" s="51">
        <v>55</v>
      </c>
      <c r="C38" s="136">
        <v>59</v>
      </c>
      <c r="D38" s="137">
        <v>1500</v>
      </c>
      <c r="E38" s="137">
        <v>1790</v>
      </c>
      <c r="F38" s="137">
        <v>2080</v>
      </c>
      <c r="G38" s="137">
        <v>2334</v>
      </c>
      <c r="H38" s="137">
        <v>2620</v>
      </c>
      <c r="I38" s="137">
        <v>2950</v>
      </c>
    </row>
    <row r="39" spans="2:9" ht="13.8" customHeight="1" x14ac:dyDescent="0.3">
      <c r="B39" s="51">
        <v>60</v>
      </c>
      <c r="C39" s="136">
        <v>64</v>
      </c>
      <c r="D39" s="137">
        <v>1400</v>
      </c>
      <c r="E39" s="137">
        <v>1690</v>
      </c>
      <c r="F39" s="137">
        <v>1980</v>
      </c>
      <c r="G39" s="137">
        <v>2236</v>
      </c>
      <c r="H39" s="137">
        <v>2522</v>
      </c>
      <c r="I39" s="137">
        <v>2850</v>
      </c>
    </row>
    <row r="40" spans="2:9" ht="13.8" customHeight="1" x14ac:dyDescent="0.3">
      <c r="B40" s="51">
        <v>65</v>
      </c>
      <c r="C40" s="136">
        <v>69</v>
      </c>
      <c r="D40" s="137">
        <v>1300</v>
      </c>
      <c r="E40" s="137">
        <v>1575</v>
      </c>
      <c r="F40" s="137">
        <v>1850</v>
      </c>
      <c r="G40" s="137">
        <v>2093</v>
      </c>
      <c r="H40" s="137">
        <v>2364</v>
      </c>
      <c r="I40" s="137">
        <v>2675</v>
      </c>
    </row>
    <row r="41" spans="2:9" ht="13.8" customHeight="1" x14ac:dyDescent="0.3">
      <c r="B41" s="54">
        <v>70</v>
      </c>
      <c r="C41" s="135">
        <v>74</v>
      </c>
      <c r="D41" s="124">
        <v>1200</v>
      </c>
      <c r="E41" s="124">
        <v>1440</v>
      </c>
      <c r="F41" s="124">
        <v>1680</v>
      </c>
      <c r="G41" s="124">
        <v>1891</v>
      </c>
      <c r="H41" s="124">
        <v>2128</v>
      </c>
      <c r="I41" s="124">
        <v>2400</v>
      </c>
    </row>
    <row r="42" spans="2:9" ht="13.8" customHeight="1" x14ac:dyDescent="0.3">
      <c r="B42" s="54">
        <v>75</v>
      </c>
      <c r="C42" s="135">
        <v>79</v>
      </c>
      <c r="D42" s="124">
        <v>1100</v>
      </c>
      <c r="E42" s="124">
        <v>1335</v>
      </c>
      <c r="F42" s="124">
        <v>1570</v>
      </c>
      <c r="G42" s="124">
        <v>1778</v>
      </c>
      <c r="H42" s="124">
        <v>2009</v>
      </c>
      <c r="I42" s="124">
        <v>2275</v>
      </c>
    </row>
    <row r="43" spans="2:9" ht="13.8" customHeight="1" x14ac:dyDescent="0.3">
      <c r="B43" s="54">
        <v>80</v>
      </c>
      <c r="C43" s="135">
        <v>84</v>
      </c>
      <c r="D43" s="124">
        <v>1000</v>
      </c>
      <c r="E43" s="124">
        <v>1210</v>
      </c>
      <c r="F43" s="124">
        <v>1420</v>
      </c>
      <c r="G43" s="124">
        <v>1606</v>
      </c>
      <c r="H43" s="124">
        <v>1812</v>
      </c>
      <c r="I43" s="124">
        <v>2050</v>
      </c>
    </row>
    <row r="44" spans="2:9" ht="13.8" customHeight="1" x14ac:dyDescent="0.3">
      <c r="B44" s="51">
        <v>85</v>
      </c>
      <c r="C44" s="136">
        <v>89</v>
      </c>
      <c r="D44" s="137">
        <v>900</v>
      </c>
      <c r="E44" s="137">
        <v>1105</v>
      </c>
      <c r="F44" s="137">
        <v>1310</v>
      </c>
      <c r="G44" s="137">
        <v>1492</v>
      </c>
      <c r="H44" s="137">
        <v>1694</v>
      </c>
      <c r="I44" s="137">
        <v>1925</v>
      </c>
    </row>
    <row r="45" spans="2:9" ht="13.8" customHeight="1" x14ac:dyDescent="0.3">
      <c r="B45" s="51">
        <v>90</v>
      </c>
      <c r="C45" s="99">
        <v>999</v>
      </c>
      <c r="D45" s="137">
        <v>800</v>
      </c>
      <c r="E45" s="137">
        <v>980</v>
      </c>
      <c r="F45" s="137">
        <v>1160</v>
      </c>
      <c r="G45" s="137">
        <v>1320</v>
      </c>
      <c r="H45" s="137">
        <v>1497</v>
      </c>
      <c r="I45" s="137">
        <v>1700</v>
      </c>
    </row>
    <row r="46" spans="2:9" x14ac:dyDescent="0.3">
      <c r="C46" s="100"/>
      <c r="D46" s="100"/>
      <c r="E46" s="100"/>
      <c r="F46" s="100"/>
      <c r="G46" s="100"/>
      <c r="H46" s="100"/>
    </row>
    <row r="48" spans="2:9" x14ac:dyDescent="0.3">
      <c r="B48" s="138"/>
      <c r="C48" s="130"/>
      <c r="D48" s="130"/>
      <c r="E48" s="130"/>
      <c r="F48" s="130"/>
      <c r="G48" s="130"/>
      <c r="H48" s="130"/>
      <c r="I48" s="131"/>
    </row>
    <row r="49" spans="2:9" x14ac:dyDescent="0.3">
      <c r="B49" s="139" t="s">
        <v>172</v>
      </c>
      <c r="C49" s="133"/>
      <c r="D49" s="133"/>
      <c r="E49" s="133"/>
      <c r="F49" s="133"/>
      <c r="G49" s="133"/>
      <c r="H49" s="133"/>
      <c r="I49" s="134"/>
    </row>
    <row r="50" spans="2:9" x14ac:dyDescent="0.3">
      <c r="B50" s="179" t="s">
        <v>173</v>
      </c>
      <c r="C50" s="180"/>
      <c r="D50" s="180"/>
      <c r="E50" s="180"/>
      <c r="F50" s="180"/>
      <c r="G50" s="180"/>
      <c r="H50" s="180"/>
      <c r="I50" s="181"/>
    </row>
    <row r="51" spans="2:9" x14ac:dyDescent="0.3">
      <c r="B51" s="179" t="s">
        <v>174</v>
      </c>
      <c r="C51" s="180"/>
      <c r="D51" s="180"/>
      <c r="E51" s="180"/>
      <c r="F51" s="180"/>
      <c r="G51" s="180"/>
      <c r="H51" s="180"/>
      <c r="I51" s="181"/>
    </row>
    <row r="52" spans="2:9" x14ac:dyDescent="0.3">
      <c r="B52" s="189" t="s">
        <v>175</v>
      </c>
      <c r="C52" s="180"/>
      <c r="D52" s="180"/>
      <c r="E52" s="180"/>
      <c r="F52" s="180"/>
      <c r="G52" s="180"/>
      <c r="H52" s="180"/>
      <c r="I52" s="181"/>
    </row>
    <row r="53" spans="2:9" x14ac:dyDescent="0.3">
      <c r="B53" s="179" t="s">
        <v>177</v>
      </c>
      <c r="C53" s="180"/>
      <c r="D53" s="180"/>
      <c r="E53" s="180"/>
      <c r="F53" s="180"/>
      <c r="G53" s="180"/>
      <c r="H53" s="180"/>
      <c r="I53" s="181"/>
    </row>
    <row r="54" spans="2:9" x14ac:dyDescent="0.3">
      <c r="B54" s="179" t="s">
        <v>178</v>
      </c>
      <c r="C54" s="180"/>
      <c r="D54" s="180"/>
      <c r="E54" s="180"/>
      <c r="F54" s="180"/>
      <c r="G54" s="180"/>
      <c r="H54" s="180"/>
      <c r="I54" s="181"/>
    </row>
    <row r="55" spans="2:9" x14ac:dyDescent="0.3">
      <c r="B55" s="179" t="s">
        <v>179</v>
      </c>
      <c r="C55" s="180"/>
      <c r="D55" s="180"/>
      <c r="E55" s="180"/>
      <c r="F55" s="180"/>
      <c r="G55" s="180"/>
      <c r="H55" s="180"/>
      <c r="I55" s="181"/>
    </row>
    <row r="56" spans="2:9" x14ac:dyDescent="0.3">
      <c r="B56" s="179" t="s">
        <v>180</v>
      </c>
      <c r="C56" s="180"/>
      <c r="D56" s="180"/>
      <c r="E56" s="180"/>
      <c r="F56" s="180"/>
      <c r="G56" s="180"/>
      <c r="H56" s="180"/>
      <c r="I56" s="181"/>
    </row>
    <row r="57" spans="2:9" x14ac:dyDescent="0.3">
      <c r="B57" s="179" t="s">
        <v>181</v>
      </c>
      <c r="C57" s="180"/>
      <c r="D57" s="180"/>
      <c r="E57" s="180"/>
      <c r="F57" s="180"/>
      <c r="G57" s="180"/>
      <c r="H57" s="180"/>
      <c r="I57" s="181"/>
    </row>
    <row r="58" spans="2:9" x14ac:dyDescent="0.3">
      <c r="B58" s="179" t="s">
        <v>182</v>
      </c>
      <c r="C58" s="180"/>
      <c r="D58" s="180"/>
      <c r="E58" s="180"/>
      <c r="F58" s="180"/>
      <c r="G58" s="180"/>
      <c r="H58" s="180"/>
      <c r="I58" s="181"/>
    </row>
    <row r="59" spans="2:9" x14ac:dyDescent="0.3">
      <c r="B59" s="182"/>
      <c r="C59" s="183"/>
      <c r="D59" s="183"/>
      <c r="E59" s="183"/>
      <c r="F59" s="183"/>
      <c r="G59" s="183"/>
      <c r="H59" s="183"/>
      <c r="I59" s="184"/>
    </row>
  </sheetData>
  <sheetProtection algorithmName="SHA-512" hashValue="3ermlfESAwah/Syg5srAYAtH6B4nf80iUI6e38oerwWFcegse72HqIKXw+Swz4lcda4jv7tMoQAsU4dhU4kd0Q==" saltValue="wZCI2/7qMwwB8n71YYpCpA==" spinCount="100000" sheet="1" objects="1" scenarios="1"/>
  <mergeCells count="15">
    <mergeCell ref="B57:I57"/>
    <mergeCell ref="B58:I58"/>
    <mergeCell ref="B59:I59"/>
    <mergeCell ref="B4:I4"/>
    <mergeCell ref="B2:I2"/>
    <mergeCell ref="B3:I3"/>
    <mergeCell ref="B52:I52"/>
    <mergeCell ref="B53:I53"/>
    <mergeCell ref="B54:I54"/>
    <mergeCell ref="B55:I55"/>
    <mergeCell ref="B56:I56"/>
    <mergeCell ref="B6:C6"/>
    <mergeCell ref="B27:C27"/>
    <mergeCell ref="B51:I51"/>
    <mergeCell ref="B50:I50"/>
  </mergeCells>
  <pageMargins left="0.70866141732283472" right="0.70866141732283472" top="0.74803149606299213" bottom="0.74803149606299213" header="0.31496062992125984" footer="0.31496062992125984"/>
  <pageSetup paperSize="9" scale="80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EA3CA-7BCF-4B61-A425-CA240B81A346}">
  <sheetPr>
    <tabColor rgb="FFFFFF00"/>
  </sheetPr>
  <dimension ref="B2:J35"/>
  <sheetViews>
    <sheetView workbookViewId="0">
      <selection activeCell="B6" sqref="B6:C6"/>
    </sheetView>
  </sheetViews>
  <sheetFormatPr defaultRowHeight="14.4" x14ac:dyDescent="0.3"/>
  <cols>
    <col min="1" max="1" width="4.33203125" style="5" customWidth="1"/>
    <col min="2" max="2" width="13.5546875" style="5" customWidth="1"/>
    <col min="3" max="3" width="13.109375" style="5" customWidth="1"/>
    <col min="4" max="4" width="11.5546875" style="5" customWidth="1"/>
    <col min="5" max="5" width="11.33203125" style="5" customWidth="1"/>
    <col min="6" max="6" width="10.5546875" style="5" customWidth="1"/>
    <col min="7" max="7" width="12" style="5" customWidth="1"/>
    <col min="8" max="8" width="12.6640625" style="5" customWidth="1"/>
    <col min="9" max="9" width="16.33203125" style="100" customWidth="1"/>
    <col min="10" max="10" width="11.77734375" style="5" customWidth="1"/>
    <col min="11" max="16384" width="8.88671875" style="5"/>
  </cols>
  <sheetData>
    <row r="2" spans="2:10" x14ac:dyDescent="0.3">
      <c r="B2" s="186" t="s">
        <v>186</v>
      </c>
      <c r="C2" s="187"/>
      <c r="D2" s="187"/>
      <c r="E2" s="187"/>
      <c r="F2" s="187"/>
      <c r="G2" s="187"/>
      <c r="H2" s="187"/>
      <c r="I2" s="188"/>
    </row>
    <row r="3" spans="2:10" ht="16.8" customHeight="1" x14ac:dyDescent="0.3">
      <c r="B3" s="179" t="s">
        <v>184</v>
      </c>
      <c r="C3" s="180"/>
      <c r="D3" s="180"/>
      <c r="E3" s="180"/>
      <c r="F3" s="180"/>
      <c r="G3" s="180"/>
      <c r="H3" s="180"/>
      <c r="I3" s="181"/>
    </row>
    <row r="4" spans="2:10" ht="16.8" customHeight="1" x14ac:dyDescent="0.3">
      <c r="B4" s="185" t="s">
        <v>187</v>
      </c>
      <c r="C4" s="183"/>
      <c r="D4" s="183"/>
      <c r="E4" s="183"/>
      <c r="F4" s="183"/>
      <c r="G4" s="183"/>
      <c r="H4" s="183"/>
      <c r="I4" s="184"/>
    </row>
    <row r="5" spans="2:10" ht="16.8" customHeight="1" x14ac:dyDescent="0.3"/>
    <row r="6" spans="2:10" ht="13.8" customHeight="1" x14ac:dyDescent="0.3">
      <c r="B6" s="197" t="s">
        <v>59</v>
      </c>
      <c r="C6" s="198"/>
      <c r="E6" s="199" t="s">
        <v>83</v>
      </c>
      <c r="F6" s="142"/>
      <c r="G6" s="142"/>
      <c r="H6" s="142"/>
      <c r="I6" s="142"/>
    </row>
    <row r="7" spans="2:10" ht="13.8" customHeight="1" x14ac:dyDescent="0.3"/>
    <row r="8" spans="2:10" ht="13.8" customHeight="1" x14ac:dyDescent="0.3">
      <c r="B8" s="55" t="s">
        <v>55</v>
      </c>
      <c r="C8" s="70" t="s">
        <v>56</v>
      </c>
      <c r="D8" s="56" t="s">
        <v>19</v>
      </c>
      <c r="E8" s="56" t="s">
        <v>20</v>
      </c>
      <c r="F8" s="56" t="s">
        <v>54</v>
      </c>
      <c r="G8" s="56" t="s">
        <v>21</v>
      </c>
      <c r="H8" s="56" t="s">
        <v>22</v>
      </c>
      <c r="I8" s="56" t="s">
        <v>23</v>
      </c>
      <c r="J8" s="30"/>
    </row>
    <row r="9" spans="2:10" ht="13.8" customHeight="1" x14ac:dyDescent="0.3">
      <c r="B9" s="54">
        <v>12</v>
      </c>
      <c r="C9" s="98">
        <v>12.9</v>
      </c>
      <c r="D9" s="11">
        <v>700</v>
      </c>
      <c r="E9" s="11">
        <v>936</v>
      </c>
      <c r="F9" s="11">
        <v>1172</v>
      </c>
      <c r="G9" s="11">
        <v>1386</v>
      </c>
      <c r="H9" s="11">
        <v>1619</v>
      </c>
      <c r="I9" s="100">
        <v>1882</v>
      </c>
    </row>
    <row r="10" spans="2:10" ht="13.8" customHeight="1" x14ac:dyDescent="0.3">
      <c r="B10" s="51">
        <v>13</v>
      </c>
      <c r="C10" s="99">
        <v>13.9</v>
      </c>
      <c r="D10" s="11">
        <v>725</v>
      </c>
      <c r="E10" s="11">
        <v>957</v>
      </c>
      <c r="F10" s="11">
        <v>1189</v>
      </c>
      <c r="G10" s="11">
        <v>1400</v>
      </c>
      <c r="H10" s="11">
        <v>1628</v>
      </c>
      <c r="I10" s="100">
        <v>1887</v>
      </c>
    </row>
    <row r="11" spans="2:10" ht="13.8" customHeight="1" x14ac:dyDescent="0.3">
      <c r="B11" s="54">
        <v>14</v>
      </c>
      <c r="C11" s="98">
        <v>14.9</v>
      </c>
      <c r="D11" s="11">
        <v>780</v>
      </c>
      <c r="E11" s="11">
        <v>1020</v>
      </c>
      <c r="F11" s="11">
        <v>1260</v>
      </c>
      <c r="G11" s="11">
        <v>1478</v>
      </c>
      <c r="H11" s="11">
        <v>1714</v>
      </c>
      <c r="I11" s="100">
        <v>1980</v>
      </c>
    </row>
    <row r="12" spans="2:10" ht="13.8" customHeight="1" x14ac:dyDescent="0.3">
      <c r="B12" s="51">
        <v>15</v>
      </c>
      <c r="C12" s="99">
        <v>15.9</v>
      </c>
      <c r="D12" s="11">
        <v>835</v>
      </c>
      <c r="E12" s="11">
        <v>1065</v>
      </c>
      <c r="F12" s="11">
        <v>1295</v>
      </c>
      <c r="G12" s="11">
        <v>1502</v>
      </c>
      <c r="H12" s="11">
        <v>1729</v>
      </c>
      <c r="I12" s="100">
        <v>1984</v>
      </c>
    </row>
    <row r="13" spans="2:10" ht="13.8" customHeight="1" x14ac:dyDescent="0.3">
      <c r="B13" s="57"/>
      <c r="C13" s="100"/>
      <c r="D13" s="11"/>
      <c r="E13" s="11"/>
      <c r="F13" s="11"/>
      <c r="G13" s="11"/>
      <c r="H13" s="11"/>
    </row>
    <row r="14" spans="2:10" ht="13.8" customHeight="1" x14ac:dyDescent="0.3"/>
    <row r="15" spans="2:10" ht="13.8" customHeight="1" x14ac:dyDescent="0.3">
      <c r="B15" s="197" t="s">
        <v>60</v>
      </c>
      <c r="C15" s="198"/>
      <c r="E15" s="199" t="s">
        <v>83</v>
      </c>
      <c r="F15" s="142"/>
      <c r="G15" s="142"/>
      <c r="H15" s="142"/>
      <c r="I15" s="142"/>
    </row>
    <row r="16" spans="2:10" ht="13.8" customHeight="1" x14ac:dyDescent="0.3"/>
    <row r="17" spans="2:9" ht="13.8" customHeight="1" x14ac:dyDescent="0.3">
      <c r="B17" s="55" t="s">
        <v>55</v>
      </c>
      <c r="C17" s="70" t="s">
        <v>56</v>
      </c>
      <c r="D17" s="56" t="s">
        <v>19</v>
      </c>
      <c r="E17" s="56" t="s">
        <v>20</v>
      </c>
      <c r="F17" s="56" t="s">
        <v>54</v>
      </c>
      <c r="G17" s="56" t="s">
        <v>21</v>
      </c>
      <c r="H17" s="56" t="s">
        <v>22</v>
      </c>
      <c r="I17" s="56" t="s">
        <v>23</v>
      </c>
    </row>
    <row r="18" spans="2:9" ht="13.8" customHeight="1" x14ac:dyDescent="0.3">
      <c r="B18" s="54">
        <v>12</v>
      </c>
      <c r="C18" s="98">
        <v>12.9</v>
      </c>
      <c r="D18" s="11">
        <v>650</v>
      </c>
      <c r="E18" s="11">
        <v>880</v>
      </c>
      <c r="F18" s="11">
        <v>1110</v>
      </c>
      <c r="G18" s="11">
        <v>1320</v>
      </c>
      <c r="H18" s="11">
        <v>1546</v>
      </c>
      <c r="I18" s="100">
        <v>1800</v>
      </c>
    </row>
    <row r="19" spans="2:9" ht="13.8" customHeight="1" x14ac:dyDescent="0.3">
      <c r="B19" s="51">
        <v>13</v>
      </c>
      <c r="C19" s="99">
        <v>13.9</v>
      </c>
      <c r="D19" s="11">
        <v>700</v>
      </c>
      <c r="E19" s="11">
        <v>921</v>
      </c>
      <c r="F19" s="11">
        <v>1142</v>
      </c>
      <c r="G19" s="11">
        <v>1343</v>
      </c>
      <c r="H19" s="11">
        <v>1560</v>
      </c>
      <c r="I19" s="100">
        <v>1804</v>
      </c>
    </row>
    <row r="20" spans="2:9" ht="13.8" customHeight="1" x14ac:dyDescent="0.3">
      <c r="B20" s="54">
        <v>14</v>
      </c>
      <c r="C20" s="98">
        <v>14.9</v>
      </c>
      <c r="D20" s="11">
        <v>725</v>
      </c>
      <c r="E20" s="11">
        <v>950</v>
      </c>
      <c r="F20" s="11">
        <v>1175</v>
      </c>
      <c r="G20" s="11">
        <v>1379</v>
      </c>
      <c r="H20" s="11">
        <v>1601</v>
      </c>
      <c r="I20" s="100">
        <v>1850</v>
      </c>
    </row>
    <row r="21" spans="2:9" ht="13.8" customHeight="1" x14ac:dyDescent="0.3">
      <c r="B21" s="51">
        <v>15</v>
      </c>
      <c r="C21" s="99">
        <v>15.9</v>
      </c>
      <c r="D21" s="11">
        <v>780</v>
      </c>
      <c r="E21" s="11">
        <v>996</v>
      </c>
      <c r="F21" s="11">
        <v>1212</v>
      </c>
      <c r="G21" s="11">
        <v>1407</v>
      </c>
      <c r="H21" s="11">
        <v>1619</v>
      </c>
      <c r="I21" s="100">
        <v>1860</v>
      </c>
    </row>
    <row r="22" spans="2:9" ht="13.8" customHeight="1" x14ac:dyDescent="0.3">
      <c r="B22" s="57"/>
      <c r="C22" s="100"/>
      <c r="D22" s="11"/>
      <c r="E22" s="11"/>
      <c r="F22" s="11"/>
      <c r="G22" s="11"/>
      <c r="H22" s="11"/>
    </row>
    <row r="23" spans="2:9" ht="13.8" customHeight="1" x14ac:dyDescent="0.3">
      <c r="B23" s="57"/>
      <c r="C23" s="100"/>
      <c r="D23" s="11"/>
      <c r="E23" s="11"/>
      <c r="F23" s="11"/>
      <c r="G23" s="11"/>
      <c r="H23" s="11"/>
    </row>
    <row r="24" spans="2:9" ht="13.8" customHeight="1" x14ac:dyDescent="0.3">
      <c r="B24" s="193"/>
      <c r="C24" s="194"/>
      <c r="D24" s="194"/>
      <c r="E24" s="194"/>
      <c r="F24" s="194"/>
      <c r="G24" s="194"/>
      <c r="H24" s="194"/>
      <c r="I24" s="195"/>
    </row>
    <row r="25" spans="2:9" ht="13.8" customHeight="1" x14ac:dyDescent="0.3">
      <c r="B25" s="196" t="s">
        <v>172</v>
      </c>
      <c r="C25" s="180"/>
      <c r="D25" s="180"/>
      <c r="E25" s="180"/>
      <c r="F25" s="180"/>
      <c r="G25" s="180"/>
      <c r="H25" s="180"/>
      <c r="I25" s="181"/>
    </row>
    <row r="26" spans="2:9" ht="13.8" customHeight="1" x14ac:dyDescent="0.3">
      <c r="B26" s="179" t="s">
        <v>173</v>
      </c>
      <c r="C26" s="180"/>
      <c r="D26" s="180"/>
      <c r="E26" s="180"/>
      <c r="F26" s="180"/>
      <c r="G26" s="180"/>
      <c r="H26" s="180"/>
      <c r="I26" s="181"/>
    </row>
    <row r="27" spans="2:9" ht="13.8" customHeight="1" x14ac:dyDescent="0.3">
      <c r="B27" s="132" t="s">
        <v>188</v>
      </c>
      <c r="C27" s="127"/>
      <c r="D27" s="128"/>
      <c r="E27" s="128"/>
      <c r="F27" s="128"/>
      <c r="G27" s="128"/>
      <c r="H27" s="128"/>
      <c r="I27" s="129"/>
    </row>
    <row r="28" spans="2:9" ht="13.8" customHeight="1" x14ac:dyDescent="0.3">
      <c r="B28" s="179" t="s">
        <v>191</v>
      </c>
      <c r="C28" s="180"/>
      <c r="D28" s="180"/>
      <c r="E28" s="180"/>
      <c r="F28" s="180"/>
      <c r="G28" s="180"/>
      <c r="H28" s="180"/>
      <c r="I28" s="181"/>
    </row>
    <row r="29" spans="2:9" ht="13.8" customHeight="1" x14ac:dyDescent="0.3">
      <c r="B29" s="179" t="s">
        <v>176</v>
      </c>
      <c r="C29" s="180"/>
      <c r="D29" s="180"/>
      <c r="E29" s="180"/>
      <c r="F29" s="180"/>
      <c r="G29" s="180"/>
      <c r="H29" s="180"/>
      <c r="I29" s="181"/>
    </row>
    <row r="30" spans="2:9" ht="13.8" customHeight="1" x14ac:dyDescent="0.3">
      <c r="B30" s="179" t="s">
        <v>189</v>
      </c>
      <c r="C30" s="180"/>
      <c r="D30" s="180"/>
      <c r="E30" s="180"/>
      <c r="F30" s="180"/>
      <c r="G30" s="180"/>
      <c r="H30" s="180"/>
      <c r="I30" s="181"/>
    </row>
    <row r="31" spans="2:9" ht="13.8" customHeight="1" x14ac:dyDescent="0.3">
      <c r="B31" s="179" t="s">
        <v>190</v>
      </c>
      <c r="C31" s="180"/>
      <c r="D31" s="180"/>
      <c r="E31" s="180"/>
      <c r="F31" s="180"/>
      <c r="G31" s="180"/>
      <c r="H31" s="180"/>
      <c r="I31" s="181"/>
    </row>
    <row r="32" spans="2:9" ht="13.8" customHeight="1" x14ac:dyDescent="0.3">
      <c r="B32" s="179" t="s">
        <v>180</v>
      </c>
      <c r="C32" s="180"/>
      <c r="D32" s="180"/>
      <c r="E32" s="180"/>
      <c r="F32" s="180"/>
      <c r="G32" s="180"/>
      <c r="H32" s="180"/>
      <c r="I32" s="181"/>
    </row>
    <row r="33" spans="2:9" ht="13.8" customHeight="1" x14ac:dyDescent="0.3">
      <c r="B33" s="179" t="s">
        <v>181</v>
      </c>
      <c r="C33" s="180"/>
      <c r="D33" s="180"/>
      <c r="E33" s="180"/>
      <c r="F33" s="180"/>
      <c r="G33" s="180"/>
      <c r="H33" s="180"/>
      <c r="I33" s="181"/>
    </row>
    <row r="34" spans="2:9" ht="13.8" customHeight="1" x14ac:dyDescent="0.3">
      <c r="B34" s="179" t="s">
        <v>182</v>
      </c>
      <c r="C34" s="180"/>
      <c r="D34" s="180"/>
      <c r="E34" s="180"/>
      <c r="F34" s="180"/>
      <c r="G34" s="180"/>
      <c r="H34" s="180"/>
      <c r="I34" s="181"/>
    </row>
    <row r="35" spans="2:9" x14ac:dyDescent="0.3">
      <c r="B35" s="192"/>
      <c r="C35" s="156"/>
      <c r="D35" s="156"/>
      <c r="E35" s="156"/>
      <c r="F35" s="156"/>
      <c r="G35" s="156"/>
      <c r="H35" s="156"/>
      <c r="I35" s="172"/>
    </row>
  </sheetData>
  <mergeCells count="18">
    <mergeCell ref="B6:C6"/>
    <mergeCell ref="B15:C15"/>
    <mergeCell ref="E6:I6"/>
    <mergeCell ref="E15:I15"/>
    <mergeCell ref="B2:I2"/>
    <mergeCell ref="B3:I3"/>
    <mergeCell ref="B4:I4"/>
    <mergeCell ref="B35:I35"/>
    <mergeCell ref="B24:I24"/>
    <mergeCell ref="B31:I31"/>
    <mergeCell ref="B32:I32"/>
    <mergeCell ref="B33:I33"/>
    <mergeCell ref="B25:I25"/>
    <mergeCell ref="B34:I34"/>
    <mergeCell ref="B26:I26"/>
    <mergeCell ref="B28:I28"/>
    <mergeCell ref="B29:I29"/>
    <mergeCell ref="B30:I30"/>
  </mergeCells>
  <pageMargins left="0.70866141732283472" right="0.70866141732283472" top="0.74803149606299213" bottom="0.74803149606299213" header="0.31496062992125984" footer="0.31496062992125984"/>
  <pageSetup paperSize="9" scale="80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BFB1B-017A-4CF4-B58B-97A64F10D146}">
  <sheetPr codeName="Blad4"/>
  <dimension ref="A1:O82"/>
  <sheetViews>
    <sheetView workbookViewId="0">
      <selection activeCell="D65" sqref="A1:XFD1048576"/>
    </sheetView>
  </sheetViews>
  <sheetFormatPr defaultRowHeight="14.4" x14ac:dyDescent="0.3"/>
  <cols>
    <col min="1" max="1" width="8.88671875" style="92"/>
    <col min="2" max="2" width="11.77734375" style="92" customWidth="1"/>
    <col min="3" max="11" width="8.88671875" style="92"/>
    <col min="12" max="12" width="12.77734375" style="92" customWidth="1"/>
    <col min="13" max="13" width="15.88671875" style="92" customWidth="1"/>
    <col min="14" max="16384" width="8.88671875" style="92"/>
  </cols>
  <sheetData>
    <row r="1" spans="1:15" x14ac:dyDescent="0.3">
      <c r="A1" s="39"/>
      <c r="B1" s="39"/>
      <c r="D1" s="93">
        <v>12</v>
      </c>
    </row>
    <row r="2" spans="1:15" x14ac:dyDescent="0.3">
      <c r="A2" s="93"/>
      <c r="B2" s="39"/>
      <c r="D2" s="93">
        <v>13</v>
      </c>
    </row>
    <row r="3" spans="1:15" x14ac:dyDescent="0.3">
      <c r="A3" s="39"/>
      <c r="B3" s="39" t="s">
        <v>39</v>
      </c>
      <c r="D3" s="93">
        <v>14</v>
      </c>
      <c r="E3" s="93" t="s">
        <v>73</v>
      </c>
      <c r="K3" s="92">
        <v>12</v>
      </c>
      <c r="L3" s="92" t="s">
        <v>61</v>
      </c>
    </row>
    <row r="4" spans="1:15" x14ac:dyDescent="0.3">
      <c r="A4" s="93"/>
      <c r="B4" s="94" t="s">
        <v>42</v>
      </c>
      <c r="C4" s="95"/>
      <c r="D4" s="94">
        <v>15</v>
      </c>
      <c r="E4" s="94" t="s">
        <v>74</v>
      </c>
      <c r="F4" s="95"/>
      <c r="G4" s="95"/>
      <c r="H4" s="95"/>
      <c r="I4" s="95"/>
      <c r="J4" s="95"/>
      <c r="L4" s="92">
        <v>3090</v>
      </c>
      <c r="M4" s="92">
        <f>SUM(O5)</f>
        <v>1290.3</v>
      </c>
      <c r="N4" s="92">
        <f>SUM(L4-M4)</f>
        <v>1799.7</v>
      </c>
    </row>
    <row r="5" spans="1:15" x14ac:dyDescent="0.3">
      <c r="A5" s="39"/>
      <c r="D5" s="96"/>
      <c r="M5" s="92">
        <v>6.9</v>
      </c>
      <c r="N5" s="92">
        <v>187</v>
      </c>
      <c r="O5" s="92">
        <f>SUM(M5*N5)</f>
        <v>1290.3</v>
      </c>
    </row>
    <row r="6" spans="1:15" x14ac:dyDescent="0.3">
      <c r="A6" s="93"/>
    </row>
    <row r="7" spans="1:15" x14ac:dyDescent="0.3">
      <c r="A7" s="39">
        <v>16</v>
      </c>
      <c r="K7" s="92">
        <v>13</v>
      </c>
      <c r="L7" s="92">
        <v>3100</v>
      </c>
      <c r="M7" s="92">
        <f>SUM(O8)</f>
        <v>1295.9099999999999</v>
      </c>
      <c r="N7" s="92">
        <f>SUM(L7-M7)</f>
        <v>1804.0900000000001</v>
      </c>
    </row>
    <row r="8" spans="1:15" x14ac:dyDescent="0.3">
      <c r="A8" s="93">
        <v>17</v>
      </c>
      <c r="M8" s="92">
        <v>6.93</v>
      </c>
      <c r="N8" s="92">
        <v>187</v>
      </c>
      <c r="O8" s="92">
        <f>SUM(M8*N8)</f>
        <v>1295.9099999999999</v>
      </c>
    </row>
    <row r="9" spans="1:15" x14ac:dyDescent="0.3">
      <c r="A9" s="39">
        <v>18</v>
      </c>
    </row>
    <row r="10" spans="1:15" x14ac:dyDescent="0.3">
      <c r="A10" s="93">
        <v>19</v>
      </c>
    </row>
    <row r="11" spans="1:15" x14ac:dyDescent="0.3">
      <c r="A11" s="39">
        <v>20</v>
      </c>
    </row>
    <row r="12" spans="1:15" x14ac:dyDescent="0.3">
      <c r="A12" s="93">
        <v>21</v>
      </c>
      <c r="K12" s="92">
        <v>14</v>
      </c>
      <c r="L12" s="92" t="s">
        <v>61</v>
      </c>
    </row>
    <row r="13" spans="1:15" x14ac:dyDescent="0.3">
      <c r="A13" s="39">
        <v>22</v>
      </c>
      <c r="L13" s="92">
        <v>3110</v>
      </c>
      <c r="M13" s="92">
        <f>SUM(O14)</f>
        <v>1257.95</v>
      </c>
      <c r="N13" s="92">
        <f>SUM(L13-M13)</f>
        <v>1852.05</v>
      </c>
    </row>
    <row r="14" spans="1:15" x14ac:dyDescent="0.3">
      <c r="A14" s="93">
        <v>23</v>
      </c>
      <c r="M14" s="92">
        <v>6.95</v>
      </c>
      <c r="N14" s="92">
        <v>181</v>
      </c>
      <c r="O14" s="92">
        <f>SUM(M14*N14)</f>
        <v>1257.95</v>
      </c>
    </row>
    <row r="15" spans="1:15" x14ac:dyDescent="0.3">
      <c r="A15" s="39">
        <v>24</v>
      </c>
    </row>
    <row r="16" spans="1:15" x14ac:dyDescent="0.3">
      <c r="A16" s="93">
        <v>25</v>
      </c>
      <c r="K16" s="92">
        <v>15</v>
      </c>
      <c r="L16" s="92">
        <v>3120</v>
      </c>
      <c r="M16" s="92">
        <f>SUM(O17)</f>
        <v>1261.57</v>
      </c>
      <c r="N16" s="92">
        <f>SUM(L16-M16)</f>
        <v>1858.43</v>
      </c>
    </row>
    <row r="17" spans="1:15" x14ac:dyDescent="0.3">
      <c r="A17" s="39">
        <v>26</v>
      </c>
      <c r="M17" s="92">
        <v>6.97</v>
      </c>
      <c r="N17" s="92">
        <v>181</v>
      </c>
      <c r="O17" s="92">
        <f>SUM(M17*N17)</f>
        <v>1261.57</v>
      </c>
    </row>
    <row r="18" spans="1:15" x14ac:dyDescent="0.3">
      <c r="A18" s="93">
        <v>27</v>
      </c>
      <c r="L18" s="95"/>
    </row>
    <row r="19" spans="1:15" x14ac:dyDescent="0.3">
      <c r="A19" s="39">
        <v>28</v>
      </c>
      <c r="L19" s="95" t="s">
        <v>18</v>
      </c>
      <c r="M19" s="95" t="s">
        <v>62</v>
      </c>
    </row>
    <row r="20" spans="1:15" ht="28.8" x14ac:dyDescent="0.3">
      <c r="A20" s="93">
        <v>29</v>
      </c>
      <c r="L20" s="97" t="s">
        <v>63</v>
      </c>
      <c r="M20" s="97" t="s">
        <v>64</v>
      </c>
    </row>
    <row r="21" spans="1:15" ht="28.8" x14ac:dyDescent="0.3">
      <c r="A21" s="39">
        <v>30</v>
      </c>
      <c r="L21" s="97" t="s">
        <v>65</v>
      </c>
      <c r="M21" s="97" t="s">
        <v>66</v>
      </c>
    </row>
    <row r="22" spans="1:15" ht="28.8" x14ac:dyDescent="0.3">
      <c r="A22" s="93">
        <v>31</v>
      </c>
      <c r="L22" s="97" t="s">
        <v>67</v>
      </c>
      <c r="M22" s="97" t="s">
        <v>68</v>
      </c>
    </row>
    <row r="23" spans="1:15" ht="28.8" x14ac:dyDescent="0.3">
      <c r="A23" s="39">
        <v>32</v>
      </c>
      <c r="L23" s="97" t="s">
        <v>69</v>
      </c>
      <c r="M23" s="97" t="s">
        <v>70</v>
      </c>
    </row>
    <row r="24" spans="1:15" x14ac:dyDescent="0.3">
      <c r="A24" s="93">
        <v>33</v>
      </c>
    </row>
    <row r="25" spans="1:15" x14ac:dyDescent="0.3">
      <c r="A25" s="39">
        <v>34</v>
      </c>
    </row>
    <row r="26" spans="1:15" x14ac:dyDescent="0.3">
      <c r="A26" s="93">
        <v>35</v>
      </c>
    </row>
    <row r="27" spans="1:15" x14ac:dyDescent="0.3">
      <c r="A27" s="39">
        <v>36</v>
      </c>
    </row>
    <row r="28" spans="1:15" x14ac:dyDescent="0.3">
      <c r="A28" s="93">
        <v>37</v>
      </c>
    </row>
    <row r="29" spans="1:15" x14ac:dyDescent="0.3">
      <c r="A29" s="39">
        <v>38</v>
      </c>
    </row>
    <row r="30" spans="1:15" x14ac:dyDescent="0.3">
      <c r="A30" s="93">
        <v>39</v>
      </c>
    </row>
    <row r="31" spans="1:15" x14ac:dyDescent="0.3">
      <c r="A31" s="39">
        <v>40</v>
      </c>
    </row>
    <row r="32" spans="1:15" x14ac:dyDescent="0.3">
      <c r="A32" s="93">
        <v>41</v>
      </c>
    </row>
    <row r="33" spans="1:1" x14ac:dyDescent="0.3">
      <c r="A33" s="39">
        <v>42</v>
      </c>
    </row>
    <row r="34" spans="1:1" x14ac:dyDescent="0.3">
      <c r="A34" s="93">
        <v>43</v>
      </c>
    </row>
    <row r="35" spans="1:1" x14ac:dyDescent="0.3">
      <c r="A35" s="39">
        <v>44</v>
      </c>
    </row>
    <row r="36" spans="1:1" x14ac:dyDescent="0.3">
      <c r="A36" s="93">
        <v>45</v>
      </c>
    </row>
    <row r="37" spans="1:1" x14ac:dyDescent="0.3">
      <c r="A37" s="39">
        <v>46</v>
      </c>
    </row>
    <row r="38" spans="1:1" x14ac:dyDescent="0.3">
      <c r="A38" s="93">
        <v>47</v>
      </c>
    </row>
    <row r="39" spans="1:1" x14ac:dyDescent="0.3">
      <c r="A39" s="39">
        <v>48</v>
      </c>
    </row>
    <row r="40" spans="1:1" x14ac:dyDescent="0.3">
      <c r="A40" s="93">
        <v>49</v>
      </c>
    </row>
    <row r="41" spans="1:1" x14ac:dyDescent="0.3">
      <c r="A41" s="39">
        <v>50</v>
      </c>
    </row>
    <row r="42" spans="1:1" x14ac:dyDescent="0.3">
      <c r="A42" s="93">
        <v>51</v>
      </c>
    </row>
    <row r="43" spans="1:1" x14ac:dyDescent="0.3">
      <c r="A43" s="39">
        <v>52</v>
      </c>
    </row>
    <row r="44" spans="1:1" x14ac:dyDescent="0.3">
      <c r="A44" s="93">
        <v>53</v>
      </c>
    </row>
    <row r="45" spans="1:1" x14ac:dyDescent="0.3">
      <c r="A45" s="39">
        <v>54</v>
      </c>
    </row>
    <row r="46" spans="1:1" x14ac:dyDescent="0.3">
      <c r="A46" s="93">
        <v>55</v>
      </c>
    </row>
    <row r="47" spans="1:1" x14ac:dyDescent="0.3">
      <c r="A47" s="39">
        <v>56</v>
      </c>
    </row>
    <row r="48" spans="1:1" x14ac:dyDescent="0.3">
      <c r="A48" s="93">
        <v>57</v>
      </c>
    </row>
    <row r="49" spans="1:1" x14ac:dyDescent="0.3">
      <c r="A49" s="39">
        <v>58</v>
      </c>
    </row>
    <row r="50" spans="1:1" x14ac:dyDescent="0.3">
      <c r="A50" s="93">
        <v>59</v>
      </c>
    </row>
    <row r="51" spans="1:1" x14ac:dyDescent="0.3">
      <c r="A51" s="39">
        <v>60</v>
      </c>
    </row>
    <row r="52" spans="1:1" x14ac:dyDescent="0.3">
      <c r="A52" s="93">
        <v>61</v>
      </c>
    </row>
    <row r="53" spans="1:1" x14ac:dyDescent="0.3">
      <c r="A53" s="39">
        <v>62</v>
      </c>
    </row>
    <row r="54" spans="1:1" x14ac:dyDescent="0.3">
      <c r="A54" s="93">
        <v>63</v>
      </c>
    </row>
    <row r="55" spans="1:1" x14ac:dyDescent="0.3">
      <c r="A55" s="39">
        <v>64</v>
      </c>
    </row>
    <row r="56" spans="1:1" x14ac:dyDescent="0.3">
      <c r="A56" s="93">
        <v>65</v>
      </c>
    </row>
    <row r="57" spans="1:1" x14ac:dyDescent="0.3">
      <c r="A57" s="39">
        <v>66</v>
      </c>
    </row>
    <row r="58" spans="1:1" x14ac:dyDescent="0.3">
      <c r="A58" s="93">
        <v>67</v>
      </c>
    </row>
    <row r="59" spans="1:1" x14ac:dyDescent="0.3">
      <c r="A59" s="39">
        <v>68</v>
      </c>
    </row>
    <row r="60" spans="1:1" x14ac:dyDescent="0.3">
      <c r="A60" s="93">
        <v>69</v>
      </c>
    </row>
    <row r="61" spans="1:1" x14ac:dyDescent="0.3">
      <c r="A61" s="39">
        <v>70</v>
      </c>
    </row>
    <row r="62" spans="1:1" x14ac:dyDescent="0.3">
      <c r="A62" s="93">
        <v>71</v>
      </c>
    </row>
    <row r="63" spans="1:1" x14ac:dyDescent="0.3">
      <c r="A63" s="39">
        <v>72</v>
      </c>
    </row>
    <row r="64" spans="1:1" x14ac:dyDescent="0.3">
      <c r="A64" s="93">
        <v>73</v>
      </c>
    </row>
    <row r="65" spans="1:1" x14ac:dyDescent="0.3">
      <c r="A65" s="39">
        <v>74</v>
      </c>
    </row>
    <row r="66" spans="1:1" x14ac:dyDescent="0.3">
      <c r="A66" s="93">
        <v>75</v>
      </c>
    </row>
    <row r="67" spans="1:1" x14ac:dyDescent="0.3">
      <c r="A67" s="39">
        <v>76</v>
      </c>
    </row>
    <row r="68" spans="1:1" x14ac:dyDescent="0.3">
      <c r="A68" s="93">
        <v>77</v>
      </c>
    </row>
    <row r="69" spans="1:1" x14ac:dyDescent="0.3">
      <c r="A69" s="39">
        <v>78</v>
      </c>
    </row>
    <row r="70" spans="1:1" x14ac:dyDescent="0.3">
      <c r="A70" s="93">
        <v>79</v>
      </c>
    </row>
    <row r="71" spans="1:1" x14ac:dyDescent="0.3">
      <c r="A71" s="39">
        <v>80</v>
      </c>
    </row>
    <row r="72" spans="1:1" x14ac:dyDescent="0.3">
      <c r="A72" s="93">
        <v>81</v>
      </c>
    </row>
    <row r="73" spans="1:1" x14ac:dyDescent="0.3">
      <c r="A73" s="39">
        <v>82</v>
      </c>
    </row>
    <row r="74" spans="1:1" x14ac:dyDescent="0.3">
      <c r="A74" s="93">
        <v>83</v>
      </c>
    </row>
    <row r="75" spans="1:1" x14ac:dyDescent="0.3">
      <c r="A75" s="39">
        <v>84</v>
      </c>
    </row>
    <row r="76" spans="1:1" x14ac:dyDescent="0.3">
      <c r="A76" s="93">
        <v>85</v>
      </c>
    </row>
    <row r="77" spans="1:1" x14ac:dyDescent="0.3">
      <c r="A77" s="39">
        <v>86</v>
      </c>
    </row>
    <row r="78" spans="1:1" x14ac:dyDescent="0.3">
      <c r="A78" s="93">
        <v>87</v>
      </c>
    </row>
    <row r="79" spans="1:1" x14ac:dyDescent="0.3">
      <c r="A79" s="39">
        <v>88</v>
      </c>
    </row>
    <row r="80" spans="1:1" x14ac:dyDescent="0.3">
      <c r="A80" s="93">
        <v>89</v>
      </c>
    </row>
    <row r="81" spans="1:1" x14ac:dyDescent="0.3">
      <c r="A81" s="39">
        <v>90</v>
      </c>
    </row>
    <row r="82" spans="1:1" x14ac:dyDescent="0.3">
      <c r="A82" s="93">
        <v>91</v>
      </c>
    </row>
  </sheetData>
  <sheetProtection algorithmName="SHA-512" hashValue="Vim7ch+7db8Fh9IX1wnCBT/r2FYevR1IxJr/WhKxNgwb9xm8qUD9f6WcA5QxObwwzDu89nQ83UwDmKLxKuREEw==" saltValue="RTVM7jyDhowc1Eq+SeZOx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7A25AC-44E3-4279-B71B-AC38CBBAE75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Inleiding</vt:lpstr>
      <vt:lpstr>Calculator 16-90 jaar</vt:lpstr>
      <vt:lpstr>Calculator 6 minutenversie</vt:lpstr>
      <vt:lpstr>Coopertest tabel van 16-90 jaar</vt:lpstr>
      <vt:lpstr>Coopertest tabel van 12-15 jaar</vt:lpstr>
      <vt:lpstr>Normen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Lodewijk van Dongen</dc:creator>
  <cp:lastModifiedBy>Lodewijk van Dongen</cp:lastModifiedBy>
  <cp:lastPrinted>2026-06-26T10:43:57Z</cp:lastPrinted>
  <dcterms:created xsi:type="dcterms:W3CDTF">2026-06-19T08:35:56Z</dcterms:created>
  <dcterms:modified xsi:type="dcterms:W3CDTF">2026-07-12T19:48:39Z</dcterms:modified>
</cp:coreProperties>
</file>